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0490" windowHeight="6675" firstSheet="1" activeTab="8"/>
  </bookViews>
  <sheets>
    <sheet name="Orçamento" sheetId="13" r:id="rId1"/>
    <sheet name="CRONOGRAMA" sheetId="12" r:id="rId2"/>
    <sheet name="Depreciação" sheetId="16" r:id="rId3"/>
    <sheet name="Itinerário" sheetId="15" r:id="rId4"/>
    <sheet name="Dimensionamento" sheetId="14" r:id="rId5"/>
    <sheet name="Tipo de Objeto x Familia" sheetId="8" state="hidden" r:id="rId6"/>
    <sheet name="BDI" sheetId="10" r:id="rId7"/>
    <sheet name="ENCARGOS SOCIAIS" sheetId="11" r:id="rId8"/>
    <sheet name="Remuneração Capital" sheetId="17" r:id="rId9"/>
  </sheets>
  <externalReferences>
    <externalReference r:id="rId10"/>
  </externalReferences>
  <definedNames>
    <definedName name="_xlnm.Print_Area" localSheetId="6">BDI!$B$2:$G$37</definedName>
    <definedName name="_xlnm.Print_Area" localSheetId="1">CRONOGRAMA!$A$1:$P$46</definedName>
    <definedName name="_xlnm.Print_Area" localSheetId="2">Depreciação!$C$2:$D$36</definedName>
    <definedName name="_xlnm.Print_Area" localSheetId="4">Dimensionamento!$B$1:$D$40</definedName>
    <definedName name="_xlnm.Print_Area" localSheetId="7">'ENCARGOS SOCIAIS'!$B$1:$D$54</definedName>
    <definedName name="_xlnm.Print_Area" localSheetId="3">Itinerário!$B$2:$J$46</definedName>
    <definedName name="_xlnm.Print_Area" localSheetId="0">Orçamento!$B$1:$G$487</definedName>
    <definedName name="F_10">#REF!</definedName>
    <definedName name="F_105">#REF!</definedName>
    <definedName name="F_107">#REF!</definedName>
    <definedName name="F_11">#REF!</definedName>
    <definedName name="F_112">#REF!</definedName>
    <definedName name="F_113">#REF!</definedName>
    <definedName name="F_117">#REF!</definedName>
    <definedName name="F_12">#REF!</definedName>
    <definedName name="F_120">#REF!</definedName>
    <definedName name="F_122">#REF!</definedName>
    <definedName name="F_127">#REF!</definedName>
    <definedName name="F_13">#REF!</definedName>
    <definedName name="F_14">#REF!</definedName>
    <definedName name="F_140">#REF!</definedName>
    <definedName name="F_15">#REF!</definedName>
    <definedName name="F_150">#REF!</definedName>
    <definedName name="F_16">#REF!</definedName>
    <definedName name="F_160">#REF!</definedName>
    <definedName name="F_17">#REF!</definedName>
    <definedName name="F_185">#REF!</definedName>
    <definedName name="F_2">#REF!</definedName>
    <definedName name="F_205">#REF!</definedName>
    <definedName name="F_215">#REF!</definedName>
    <definedName name="F_245">#REF!</definedName>
    <definedName name="F_250">#REF!</definedName>
    <definedName name="F_255">#REF!</definedName>
    <definedName name="F_260">#REF!</definedName>
    <definedName name="F_270">#REF!</definedName>
    <definedName name="F_285">#REF!</definedName>
    <definedName name="F_29">#REF!</definedName>
    <definedName name="F_290">#REF!</definedName>
    <definedName name="F_295">#REF!</definedName>
    <definedName name="F_3">#REF!</definedName>
    <definedName name="F_30">#REF!</definedName>
    <definedName name="F_31">#REF!</definedName>
    <definedName name="F_320">#REF!</definedName>
    <definedName name="F_33">#REF!</definedName>
    <definedName name="F_34">#REF!</definedName>
    <definedName name="F_345">#REF!</definedName>
    <definedName name="F_35">#REF!</definedName>
    <definedName name="F_350">#REF!</definedName>
    <definedName name="F_360">#REF!</definedName>
    <definedName name="F_37">#REF!</definedName>
    <definedName name="F_380">#REF!</definedName>
    <definedName name="F_390">#REF!</definedName>
    <definedName name="F_395">#REF!</definedName>
    <definedName name="F_397">#REF!</definedName>
    <definedName name="F_400">#REF!</definedName>
    <definedName name="F_405">#REF!</definedName>
    <definedName name="F_410">#REF!</definedName>
    <definedName name="F_42">#REF!</definedName>
    <definedName name="F_420">#REF!</definedName>
    <definedName name="F_428">#REF!</definedName>
    <definedName name="F_435">#REF!</definedName>
    <definedName name="F_440">#REF!</definedName>
    <definedName name="F_445">#REF!</definedName>
    <definedName name="F_45">#REF!</definedName>
    <definedName name="F_450">#REF!</definedName>
    <definedName name="F_452">#REF!</definedName>
    <definedName name="F_460">#REF!</definedName>
    <definedName name="F_461">#REF!</definedName>
    <definedName name="F_463">#REF!</definedName>
    <definedName name="F_465">#REF!</definedName>
    <definedName name="F_47">#REF!</definedName>
    <definedName name="F_475">#REF!</definedName>
    <definedName name="F_480">#REF!</definedName>
    <definedName name="F_495">#REF!</definedName>
    <definedName name="F_505">#REF!</definedName>
    <definedName name="F_510">#REF!</definedName>
    <definedName name="F_515">#REF!</definedName>
    <definedName name="F_52">#REF!</definedName>
    <definedName name="F_535">#REF!</definedName>
    <definedName name="F_540">#REF!</definedName>
    <definedName name="F_548">#REF!</definedName>
    <definedName name="F_550">#REF!</definedName>
    <definedName name="F_555">#REF!</definedName>
    <definedName name="F_565">#REF!</definedName>
    <definedName name="F_57">#REF!</definedName>
    <definedName name="F_580">#REF!</definedName>
    <definedName name="F_59">#REF!</definedName>
    <definedName name="F_593">#REF!</definedName>
    <definedName name="F_595">#REF!</definedName>
    <definedName name="F_600">#REF!</definedName>
    <definedName name="F_62">#REF!</definedName>
    <definedName name="F_63">#REF!</definedName>
    <definedName name="F_64">#REF!</definedName>
    <definedName name="F_685">#REF!</definedName>
    <definedName name="F_7">#REF!</definedName>
    <definedName name="F_70">#REF!</definedName>
    <definedName name="F_72">#REF!</definedName>
    <definedName name="F_736">#REF!</definedName>
    <definedName name="F_745">#REF!</definedName>
    <definedName name="F_748">#REF!</definedName>
    <definedName name="F_750">#REF!</definedName>
    <definedName name="F_754">#REF!</definedName>
    <definedName name="F_757">#REF!</definedName>
    <definedName name="F_758">#REF!</definedName>
    <definedName name="F_760">#REF!</definedName>
    <definedName name="F_77">#REF!</definedName>
    <definedName name="F_773">#REF!</definedName>
    <definedName name="F_775">#REF!</definedName>
    <definedName name="F_779">#REF!</definedName>
    <definedName name="F_784">#REF!</definedName>
    <definedName name="F_788">#REF!</definedName>
    <definedName name="F_792">#REF!</definedName>
    <definedName name="F_796">#REF!</definedName>
    <definedName name="F_8">#REF!</definedName>
    <definedName name="F_802">#REF!</definedName>
    <definedName name="F_803">#REF!</definedName>
    <definedName name="F_805">#REF!</definedName>
    <definedName name="F_82">#REF!</definedName>
    <definedName name="F_820">#REF!</definedName>
    <definedName name="F_830">#REF!</definedName>
    <definedName name="F_855">#REF!</definedName>
    <definedName name="F_870">#REF!</definedName>
    <definedName name="F_880">#REF!</definedName>
    <definedName name="F_882">#REF!</definedName>
    <definedName name="F_884">#REF!</definedName>
    <definedName name="F_886">#REF!</definedName>
    <definedName name="F_888">#REF!</definedName>
    <definedName name="F_890">#REF!</definedName>
    <definedName name="F_9">#REF!</definedName>
    <definedName name="F_905">#REF!</definedName>
    <definedName name="F_910">#REF!</definedName>
    <definedName name="F_930">#REF!</definedName>
    <definedName name="F_950">#REF!</definedName>
    <definedName name="F_960">#REF!</definedName>
    <definedName name="F_965">#REF!</definedName>
    <definedName name="F_97">#REF!</definedName>
    <definedName name="F_970">#REF!</definedName>
    <definedName name="F_980">#REF!</definedName>
    <definedName name="F_990">#REF!</definedName>
    <definedName name="Modalidades">#REF!</definedName>
  </definedNames>
  <calcPr calcId="162913"/>
</workbook>
</file>

<file path=xl/calcChain.xml><?xml version="1.0" encoding="utf-8"?>
<calcChain xmlns="http://schemas.openxmlformats.org/spreadsheetml/2006/main">
  <c r="C290" i="13" l="1"/>
  <c r="K13" i="15"/>
  <c r="K14" i="15"/>
  <c r="L14" i="15" s="1"/>
  <c r="D14" i="15" s="1"/>
  <c r="F14" i="15" s="1"/>
  <c r="H14" i="15" s="1"/>
  <c r="M16" i="15"/>
  <c r="L16" i="15"/>
  <c r="K16" i="15"/>
  <c r="E16" i="15"/>
  <c r="L23" i="15"/>
  <c r="E17" i="15"/>
  <c r="N16" i="15" l="1"/>
  <c r="O16" i="15" s="1"/>
  <c r="P16" i="15" s="1"/>
  <c r="D16" i="15" s="1"/>
  <c r="F16" i="15" s="1"/>
  <c r="H16" i="15" s="1"/>
  <c r="D314" i="13" l="1"/>
  <c r="F400" i="13" l="1"/>
  <c r="F436" i="13"/>
  <c r="E295" i="13"/>
  <c r="J284" i="13"/>
  <c r="I92" i="13"/>
  <c r="I63" i="13"/>
  <c r="D18" i="10"/>
  <c r="D23" i="10" s="1"/>
  <c r="G16" i="10"/>
  <c r="F16" i="10"/>
  <c r="E16" i="10"/>
  <c r="D35" i="11"/>
  <c r="D34" i="11"/>
  <c r="D32" i="11"/>
  <c r="D23" i="11" s="1"/>
  <c r="D31" i="11"/>
  <c r="D33" i="11" s="1"/>
  <c r="D24" i="11"/>
  <c r="D21" i="11"/>
  <c r="M26" i="15"/>
  <c r="N26" i="15" s="1"/>
  <c r="D25" i="15" s="1"/>
  <c r="E25" i="15"/>
  <c r="M23" i="15"/>
  <c r="D23" i="15" s="1"/>
  <c r="E23" i="15"/>
  <c r="V22" i="15"/>
  <c r="S22" i="15"/>
  <c r="R22" i="15"/>
  <c r="Q22" i="15"/>
  <c r="P22" i="15"/>
  <c r="O22" i="15"/>
  <c r="N22" i="15"/>
  <c r="M22" i="15"/>
  <c r="K22" i="15"/>
  <c r="E22" i="15"/>
  <c r="M19" i="15"/>
  <c r="D19" i="15" s="1"/>
  <c r="E19" i="15"/>
  <c r="S18" i="15"/>
  <c r="R18" i="15"/>
  <c r="P18" i="15"/>
  <c r="O18" i="15"/>
  <c r="M18" i="15"/>
  <c r="L18" i="15"/>
  <c r="K18" i="15"/>
  <c r="E18" i="15"/>
  <c r="M21" i="15"/>
  <c r="D21" i="15" s="1"/>
  <c r="E21" i="15"/>
  <c r="O17" i="15"/>
  <c r="N17" i="15"/>
  <c r="L17" i="15"/>
  <c r="K17" i="15"/>
  <c r="M20" i="15"/>
  <c r="L20" i="15"/>
  <c r="K20" i="15"/>
  <c r="E20" i="15"/>
  <c r="O24" i="15"/>
  <c r="N24" i="15"/>
  <c r="M24" i="15"/>
  <c r="L24" i="15"/>
  <c r="E24" i="15"/>
  <c r="W15" i="15"/>
  <c r="V15" i="15"/>
  <c r="T15" i="15"/>
  <c r="S15" i="15"/>
  <c r="Q15" i="15"/>
  <c r="P15" i="15"/>
  <c r="M15" i="15"/>
  <c r="L15" i="15"/>
  <c r="K15" i="15"/>
  <c r="E15" i="15"/>
  <c r="L13" i="15"/>
  <c r="D13" i="15" s="1"/>
  <c r="F13" i="15" s="1"/>
  <c r="H13" i="15" s="1"/>
  <c r="D21" i="14"/>
  <c r="D17" i="14"/>
  <c r="D22" i="14" s="1"/>
  <c r="D24" i="14" s="1"/>
  <c r="D14" i="14"/>
  <c r="D15" i="14" s="1"/>
  <c r="E477" i="13"/>
  <c r="H474" i="13"/>
  <c r="D468" i="13"/>
  <c r="F459" i="13"/>
  <c r="F457" i="13"/>
  <c r="I456" i="13"/>
  <c r="F455" i="13"/>
  <c r="E449" i="13"/>
  <c r="D449" i="13"/>
  <c r="B449" i="13"/>
  <c r="D448" i="13"/>
  <c r="F448" i="13" s="1"/>
  <c r="B448" i="13"/>
  <c r="D447" i="13"/>
  <c r="F447" i="13" s="1"/>
  <c r="B447" i="13"/>
  <c r="D441" i="13"/>
  <c r="D435" i="13"/>
  <c r="D443" i="13" s="1"/>
  <c r="F443" i="13" s="1"/>
  <c r="D433" i="13"/>
  <c r="E428" i="13"/>
  <c r="F428" i="13" s="1"/>
  <c r="E427" i="13"/>
  <c r="F427" i="13" s="1"/>
  <c r="F425" i="13"/>
  <c r="E443" i="13" s="1"/>
  <c r="F417" i="13"/>
  <c r="D411" i="13"/>
  <c r="F411" i="13" s="1"/>
  <c r="E412" i="13" s="1"/>
  <c r="F412" i="13" s="1"/>
  <c r="F404" i="13"/>
  <c r="D402" i="13"/>
  <c r="F402" i="13" s="1"/>
  <c r="D401" i="13"/>
  <c r="F401" i="13" s="1"/>
  <c r="D400" i="13"/>
  <c r="D399" i="13"/>
  <c r="F399" i="13" s="1"/>
  <c r="E403" i="13" s="1"/>
  <c r="D398" i="13"/>
  <c r="F398" i="13" s="1"/>
  <c r="D389" i="13"/>
  <c r="D387" i="13"/>
  <c r="F387" i="13" s="1"/>
  <c r="F385" i="13"/>
  <c r="E388" i="13" s="1"/>
  <c r="F388" i="13" s="1"/>
  <c r="E389" i="13" s="1"/>
  <c r="E374" i="13"/>
  <c r="E372" i="13"/>
  <c r="E370" i="13"/>
  <c r="E368" i="13"/>
  <c r="E366" i="13"/>
  <c r="E375" i="13" s="1"/>
  <c r="D366" i="13"/>
  <c r="D374" i="13" s="1"/>
  <c r="F358" i="13"/>
  <c r="D356" i="13"/>
  <c r="F356" i="13" s="1"/>
  <c r="D355" i="13"/>
  <c r="F355" i="13" s="1"/>
  <c r="D354" i="13"/>
  <c r="F350" i="13"/>
  <c r="D349" i="13"/>
  <c r="D344" i="13"/>
  <c r="E343" i="13"/>
  <c r="E338" i="13"/>
  <c r="F338" i="13" s="1"/>
  <c r="F334" i="13"/>
  <c r="D331" i="13"/>
  <c r="D330" i="13"/>
  <c r="D327" i="13"/>
  <c r="D343" i="13" s="1"/>
  <c r="F343" i="13" s="1"/>
  <c r="D326" i="13"/>
  <c r="E325" i="13"/>
  <c r="D325" i="13"/>
  <c r="F325" i="13" s="1"/>
  <c r="E326" i="13" s="1"/>
  <c r="F326" i="13" s="1"/>
  <c r="F322" i="13"/>
  <c r="F314" i="13"/>
  <c r="F312" i="13"/>
  <c r="E315" i="13" s="1"/>
  <c r="F315" i="13" s="1"/>
  <c r="E316" i="13" s="1"/>
  <c r="E301" i="13"/>
  <c r="E299" i="13"/>
  <c r="E297" i="13"/>
  <c r="E293" i="13"/>
  <c r="E302" i="13" s="1"/>
  <c r="D295" i="13"/>
  <c r="F287" i="13"/>
  <c r="D285" i="13"/>
  <c r="F285" i="13" s="1"/>
  <c r="D284" i="13"/>
  <c r="F284" i="13" s="1"/>
  <c r="D283" i="13"/>
  <c r="F279" i="13"/>
  <c r="D278" i="13"/>
  <c r="D273" i="13"/>
  <c r="E272" i="13"/>
  <c r="D272" i="13"/>
  <c r="F272" i="13" s="1"/>
  <c r="E267" i="13"/>
  <c r="F267" i="13" s="1"/>
  <c r="F263" i="13"/>
  <c r="D262" i="13"/>
  <c r="D260" i="13"/>
  <c r="D259" i="13"/>
  <c r="D256" i="13"/>
  <c r="F256" i="13" s="1"/>
  <c r="E259" i="13" s="1"/>
  <c r="D255" i="13"/>
  <c r="D254" i="13"/>
  <c r="J254" i="13" s="1"/>
  <c r="K254" i="13" s="1"/>
  <c r="L254" i="13" s="1"/>
  <c r="F251" i="13"/>
  <c r="E283" i="13" s="1"/>
  <c r="F241" i="13"/>
  <c r="F239" i="13"/>
  <c r="E238" i="13"/>
  <c r="F238" i="13" s="1"/>
  <c r="E237" i="13"/>
  <c r="F237" i="13" s="1"/>
  <c r="E236" i="13"/>
  <c r="F236" i="13" s="1"/>
  <c r="E235" i="13"/>
  <c r="F235" i="13" s="1"/>
  <c r="E234" i="13"/>
  <c r="F234" i="13" s="1"/>
  <c r="E233" i="13"/>
  <c r="F233" i="13" s="1"/>
  <c r="F229" i="13"/>
  <c r="F227" i="13"/>
  <c r="F226" i="13"/>
  <c r="F225" i="13"/>
  <c r="F224" i="13"/>
  <c r="F223" i="13"/>
  <c r="F222" i="13"/>
  <c r="F221" i="13"/>
  <c r="F220" i="13"/>
  <c r="F219" i="13"/>
  <c r="F218" i="13"/>
  <c r="F217" i="13"/>
  <c r="E228" i="13" s="1"/>
  <c r="D208" i="13"/>
  <c r="F208" i="13" s="1"/>
  <c r="B208" i="13"/>
  <c r="D207" i="13"/>
  <c r="F207" i="13" s="1"/>
  <c r="B207" i="13"/>
  <c r="E206" i="13"/>
  <c r="B206" i="13"/>
  <c r="E205" i="13"/>
  <c r="B205" i="13"/>
  <c r="E199" i="13"/>
  <c r="F199" i="13" s="1"/>
  <c r="D199" i="13"/>
  <c r="N198" i="13"/>
  <c r="N197" i="13"/>
  <c r="F191" i="13"/>
  <c r="B190" i="13"/>
  <c r="D189" i="13"/>
  <c r="F189" i="13" s="1"/>
  <c r="B189" i="13"/>
  <c r="D181" i="13"/>
  <c r="E176" i="13"/>
  <c r="F176" i="13" s="1"/>
  <c r="E175" i="13"/>
  <c r="F175" i="13" s="1"/>
  <c r="F173" i="13"/>
  <c r="D166" i="13"/>
  <c r="E161" i="13"/>
  <c r="F161" i="13" s="1"/>
  <c r="E160" i="13"/>
  <c r="F160" i="13" s="1"/>
  <c r="F158" i="13"/>
  <c r="F154" i="13"/>
  <c r="D151" i="13"/>
  <c r="E146" i="13"/>
  <c r="F146" i="13" s="1"/>
  <c r="E145" i="13"/>
  <c r="F145" i="13" s="1"/>
  <c r="E147" i="13" s="1"/>
  <c r="F147" i="13" s="1"/>
  <c r="F143" i="13"/>
  <c r="E441" i="13" s="1"/>
  <c r="F441" i="13" s="1"/>
  <c r="F139" i="13"/>
  <c r="D136" i="13"/>
  <c r="E131" i="13"/>
  <c r="F131" i="13" s="1"/>
  <c r="E130" i="13"/>
  <c r="F130" i="13" s="1"/>
  <c r="F128" i="13"/>
  <c r="F124" i="13"/>
  <c r="D121" i="13"/>
  <c r="D119" i="13"/>
  <c r="D116" i="13"/>
  <c r="D113" i="13"/>
  <c r="D110" i="13"/>
  <c r="E108" i="13"/>
  <c r="E107" i="13"/>
  <c r="E110" i="13" s="1"/>
  <c r="F110" i="13" s="1"/>
  <c r="F103" i="13"/>
  <c r="D100" i="13"/>
  <c r="E95" i="13"/>
  <c r="F95" i="13" s="1"/>
  <c r="E94" i="13"/>
  <c r="F94" i="13" s="1"/>
  <c r="E96" i="13" s="1"/>
  <c r="F96" i="13" s="1"/>
  <c r="F92" i="13"/>
  <c r="D88" i="13"/>
  <c r="D86" i="13"/>
  <c r="D84" i="13"/>
  <c r="E82" i="13"/>
  <c r="F82" i="13" s="1"/>
  <c r="D81" i="13"/>
  <c r="F81" i="13" s="1"/>
  <c r="D78" i="13"/>
  <c r="F72" i="13"/>
  <c r="D69" i="13"/>
  <c r="E64" i="13"/>
  <c r="F64" i="13" s="1"/>
  <c r="F63" i="13"/>
  <c r="E67" i="13" s="1"/>
  <c r="F67" i="13" s="1"/>
  <c r="E63" i="13"/>
  <c r="E76" i="13" s="1"/>
  <c r="E81" i="13" s="1"/>
  <c r="F55" i="13"/>
  <c r="F56" i="13" s="1"/>
  <c r="F45" i="13" s="1"/>
  <c r="D206" i="13" s="1"/>
  <c r="B55" i="13"/>
  <c r="B54" i="13"/>
  <c r="B50" i="13"/>
  <c r="B49" i="13"/>
  <c r="B48" i="13"/>
  <c r="B47" i="13"/>
  <c r="B46" i="13"/>
  <c r="B45" i="13"/>
  <c r="B44" i="13"/>
  <c r="F43" i="13"/>
  <c r="B43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F15" i="13"/>
  <c r="B15" i="13"/>
  <c r="B14" i="13"/>
  <c r="B13" i="13"/>
  <c r="E116" i="13" l="1"/>
  <c r="F116" i="13" s="1"/>
  <c r="E79" i="13"/>
  <c r="F79" i="13" s="1"/>
  <c r="E113" i="13"/>
  <c r="F113" i="13" s="1"/>
  <c r="F449" i="13"/>
  <c r="G450" i="13" s="1"/>
  <c r="H450" i="13" s="1"/>
  <c r="E198" i="13"/>
  <c r="F295" i="13"/>
  <c r="H295" i="13" s="1"/>
  <c r="E111" i="13"/>
  <c r="F111" i="13" s="1"/>
  <c r="E114" i="13"/>
  <c r="F114" i="13" s="1"/>
  <c r="F107" i="13"/>
  <c r="F374" i="13"/>
  <c r="R15" i="15"/>
  <c r="M17" i="15"/>
  <c r="N18" i="15"/>
  <c r="T18" i="15"/>
  <c r="U15" i="15"/>
  <c r="P24" i="15"/>
  <c r="Q24" i="15" s="1"/>
  <c r="D24" i="15" s="1"/>
  <c r="F24" i="15" s="1"/>
  <c r="H24" i="15" s="1"/>
  <c r="F25" i="15"/>
  <c r="H25" i="15" s="1"/>
  <c r="O15" i="15"/>
  <c r="N20" i="15"/>
  <c r="O20" i="15" s="1"/>
  <c r="D20" i="15" s="1"/>
  <c r="F21" i="15"/>
  <c r="H21" i="15" s="1"/>
  <c r="F19" i="15"/>
  <c r="H19" i="15" s="1"/>
  <c r="F23" i="15"/>
  <c r="H23" i="15" s="1"/>
  <c r="Q18" i="15"/>
  <c r="P17" i="15"/>
  <c r="Q17" i="15" s="1"/>
  <c r="R17" i="15" s="1"/>
  <c r="X15" i="15"/>
  <c r="U22" i="15"/>
  <c r="W22" i="15" s="1"/>
  <c r="X22" i="15" s="1"/>
  <c r="D22" i="15" s="1"/>
  <c r="F22" i="15" s="1"/>
  <c r="H22" i="15" s="1"/>
  <c r="H197" i="13"/>
  <c r="H198" i="13"/>
  <c r="H205" i="13"/>
  <c r="H206" i="13"/>
  <c r="J206" i="13" s="1"/>
  <c r="F259" i="13"/>
  <c r="E260" i="13" s="1"/>
  <c r="F260" i="13" s="1"/>
  <c r="D297" i="13"/>
  <c r="F297" i="13" s="1"/>
  <c r="H297" i="13" s="1"/>
  <c r="D293" i="13"/>
  <c r="F293" i="13" s="1"/>
  <c r="H293" i="13" s="1"/>
  <c r="D269" i="13"/>
  <c r="D29" i="11"/>
  <c r="D38" i="11" s="1"/>
  <c r="D301" i="13"/>
  <c r="F301" i="13" s="1"/>
  <c r="H301" i="13" s="1"/>
  <c r="D36" i="11"/>
  <c r="D39" i="11"/>
  <c r="D240" i="13"/>
  <c r="F206" i="13"/>
  <c r="D198" i="13"/>
  <c r="F198" i="13" s="1"/>
  <c r="D190" i="13"/>
  <c r="F190" i="13" s="1"/>
  <c r="G191" i="13" s="1"/>
  <c r="F24" i="13" s="1"/>
  <c r="D102" i="13"/>
  <c r="H92" i="13" s="1"/>
  <c r="J92" i="13" s="1"/>
  <c r="F51" i="13"/>
  <c r="E149" i="13"/>
  <c r="F149" i="13" s="1"/>
  <c r="F150" i="13" s="1"/>
  <c r="D403" i="13"/>
  <c r="D205" i="13"/>
  <c r="F205" i="13" s="1"/>
  <c r="D197" i="13"/>
  <c r="E78" i="13"/>
  <c r="F78" i="13" s="1"/>
  <c r="E84" i="13"/>
  <c r="F84" i="13" s="1"/>
  <c r="E162" i="13"/>
  <c r="F162" i="13" s="1"/>
  <c r="E177" i="13"/>
  <c r="F177" i="13" s="1"/>
  <c r="D228" i="13"/>
  <c r="F228" i="13" s="1"/>
  <c r="G229" i="13" s="1"/>
  <c r="E240" i="13"/>
  <c r="E98" i="13"/>
  <c r="F98" i="13" s="1"/>
  <c r="F389" i="13"/>
  <c r="G390" i="13" s="1"/>
  <c r="D456" i="13"/>
  <c r="F456" i="13" s="1"/>
  <c r="E458" i="13" s="1"/>
  <c r="G459" i="13" s="1"/>
  <c r="D415" i="13"/>
  <c r="F415" i="13" s="1"/>
  <c r="D413" i="13"/>
  <c r="F413" i="13" s="1"/>
  <c r="D71" i="13"/>
  <c r="H63" i="13" s="1"/>
  <c r="J63" i="13" s="1"/>
  <c r="F76" i="13"/>
  <c r="E132" i="13"/>
  <c r="F132" i="13" s="1"/>
  <c r="E442" i="13"/>
  <c r="F442" i="13" s="1"/>
  <c r="G444" i="13" s="1"/>
  <c r="F23" i="13" s="1"/>
  <c r="E254" i="13"/>
  <c r="H254" i="13" s="1"/>
  <c r="E354" i="13"/>
  <c r="F354" i="13" s="1"/>
  <c r="E357" i="13" s="1"/>
  <c r="F357" i="13" s="1"/>
  <c r="G358" i="13" s="1"/>
  <c r="F283" i="13"/>
  <c r="D274" i="13"/>
  <c r="D275" i="13" s="1"/>
  <c r="E276" i="13" s="1"/>
  <c r="F276" i="13" s="1"/>
  <c r="E117" i="13"/>
  <c r="F117" i="13" s="1"/>
  <c r="E197" i="13"/>
  <c r="E429" i="13"/>
  <c r="F429" i="13" s="1"/>
  <c r="E65" i="13"/>
  <c r="F65" i="13" s="1"/>
  <c r="E66" i="13" s="1"/>
  <c r="F66" i="13" s="1"/>
  <c r="F68" i="13" s="1"/>
  <c r="D299" i="13"/>
  <c r="F299" i="13" s="1"/>
  <c r="D307" i="13"/>
  <c r="F307" i="13" s="1"/>
  <c r="G308" i="13" s="1"/>
  <c r="D316" i="13"/>
  <c r="F316" i="13" s="1"/>
  <c r="G317" i="13" s="1"/>
  <c r="F327" i="13"/>
  <c r="D372" i="13"/>
  <c r="F372" i="13" s="1"/>
  <c r="D380" i="13"/>
  <c r="F380" i="13" s="1"/>
  <c r="G381" i="13" s="1"/>
  <c r="F366" i="13"/>
  <c r="D370" i="13"/>
  <c r="F370" i="13" s="1"/>
  <c r="D340" i="13"/>
  <c r="D341" i="13" s="1"/>
  <c r="E342" i="13" s="1"/>
  <c r="F342" i="13" s="1"/>
  <c r="D368" i="13"/>
  <c r="F368" i="13" s="1"/>
  <c r="E414" i="13" l="1"/>
  <c r="F414" i="13" s="1"/>
  <c r="E416" i="13" s="1"/>
  <c r="F416" i="13" s="1"/>
  <c r="G417" i="13" s="1"/>
  <c r="G419" i="13" s="1"/>
  <c r="F35" i="13" s="1"/>
  <c r="F99" i="13"/>
  <c r="E100" i="13" s="1"/>
  <c r="F100" i="13" s="1"/>
  <c r="H98" i="13"/>
  <c r="J98" i="13" s="1"/>
  <c r="J198" i="13"/>
  <c r="E431" i="13"/>
  <c r="F431" i="13" s="1"/>
  <c r="F432" i="13" s="1"/>
  <c r="E433" i="13" s="1"/>
  <c r="F433" i="13" s="1"/>
  <c r="F434" i="13" s="1"/>
  <c r="E286" i="13"/>
  <c r="F286" i="13" s="1"/>
  <c r="G287" i="13" s="1"/>
  <c r="J283" i="13"/>
  <c r="J205" i="13"/>
  <c r="J197" i="13"/>
  <c r="H67" i="13"/>
  <c r="J67" i="13" s="1"/>
  <c r="E85" i="13"/>
  <c r="F85" i="13" s="1"/>
  <c r="F403" i="13"/>
  <c r="G404" i="13" s="1"/>
  <c r="G406" i="13" s="1"/>
  <c r="H444" i="13"/>
  <c r="U18" i="15"/>
  <c r="Y15" i="15"/>
  <c r="Z15" i="15" s="1"/>
  <c r="D15" i="15" s="1"/>
  <c r="F15" i="15" s="1"/>
  <c r="H15" i="15" s="1"/>
  <c r="F20" i="15"/>
  <c r="H20" i="15" s="1"/>
  <c r="D17" i="15"/>
  <c r="F17" i="15" s="1"/>
  <c r="H17" i="15" s="1"/>
  <c r="V18" i="15"/>
  <c r="D18" i="15" s="1"/>
  <c r="F18" i="15" s="1"/>
  <c r="H18" i="15" s="1"/>
  <c r="D18" i="12"/>
  <c r="D40" i="11"/>
  <c r="D41" i="11" s="1"/>
  <c r="G303" i="13"/>
  <c r="I474" i="13" s="1"/>
  <c r="H299" i="13"/>
  <c r="H303" i="13" s="1"/>
  <c r="F32" i="13"/>
  <c r="H308" i="13"/>
  <c r="F33" i="13"/>
  <c r="H317" i="13"/>
  <c r="E69" i="13"/>
  <c r="F69" i="13" s="1"/>
  <c r="F31" i="13"/>
  <c r="D345" i="13"/>
  <c r="E330" i="13"/>
  <c r="F330" i="13" s="1"/>
  <c r="E331" i="13" s="1"/>
  <c r="F331" i="13" s="1"/>
  <c r="F332" i="13" s="1"/>
  <c r="E333" i="13" s="1"/>
  <c r="F333" i="13" s="1"/>
  <c r="G334" i="13" s="1"/>
  <c r="E179" i="13"/>
  <c r="F179" i="13" s="1"/>
  <c r="F180" i="13" s="1"/>
  <c r="G376" i="13"/>
  <c r="F254" i="13"/>
  <c r="D270" i="13" s="1"/>
  <c r="F87" i="13"/>
  <c r="E86" i="13"/>
  <c r="F86" i="13" s="1"/>
  <c r="E164" i="13"/>
  <c r="F164" i="13" s="1"/>
  <c r="F165" i="13" s="1"/>
  <c r="E151" i="13"/>
  <c r="F151" i="13" s="1"/>
  <c r="F152" i="13" s="1"/>
  <c r="E153" i="13" s="1"/>
  <c r="F153" i="13" s="1"/>
  <c r="G154" i="13" s="1"/>
  <c r="F19" i="13" s="1"/>
  <c r="F197" i="13"/>
  <c r="G201" i="13" s="1"/>
  <c r="E134" i="13"/>
  <c r="F134" i="13" s="1"/>
  <c r="F135" i="13" s="1"/>
  <c r="E119" i="13"/>
  <c r="F119" i="13" s="1"/>
  <c r="F120" i="13" s="1"/>
  <c r="F240" i="13"/>
  <c r="G241" i="13" s="1"/>
  <c r="G243" i="13" s="1"/>
  <c r="G209" i="13"/>
  <c r="F34" i="13" l="1"/>
  <c r="H406" i="13"/>
  <c r="F30" i="13"/>
  <c r="H287" i="13"/>
  <c r="J287" i="13" s="1"/>
  <c r="F25" i="13"/>
  <c r="H243" i="13"/>
  <c r="G18" i="12"/>
  <c r="H18" i="12"/>
  <c r="E18" i="12"/>
  <c r="K18" i="12"/>
  <c r="H29" i="15"/>
  <c r="O18" i="12"/>
  <c r="L18" i="12"/>
  <c r="M18" i="12"/>
  <c r="F18" i="12"/>
  <c r="J18" i="12"/>
  <c r="I18" i="12"/>
  <c r="N18" i="12"/>
  <c r="M17" i="12"/>
  <c r="I17" i="12"/>
  <c r="E17" i="12"/>
  <c r="L17" i="12"/>
  <c r="H17" i="12"/>
  <c r="D17" i="12"/>
  <c r="O17" i="12"/>
  <c r="K17" i="12"/>
  <c r="G17" i="12"/>
  <c r="N17" i="12"/>
  <c r="J17" i="12"/>
  <c r="F17" i="12"/>
  <c r="F101" i="13"/>
  <c r="E102" i="13" s="1"/>
  <c r="F102" i="13" s="1"/>
  <c r="G103" i="13" s="1"/>
  <c r="F16" i="13" s="1"/>
  <c r="H100" i="13"/>
  <c r="J100" i="13" s="1"/>
  <c r="J103" i="13" s="1"/>
  <c r="L206" i="13" s="1"/>
  <c r="L100" i="13"/>
  <c r="E255" i="13"/>
  <c r="F255" i="13" s="1"/>
  <c r="F261" i="13" s="1"/>
  <c r="E262" i="13" s="1"/>
  <c r="F262" i="13" s="1"/>
  <c r="G263" i="13" s="1"/>
  <c r="H263" i="13" s="1"/>
  <c r="I259" i="13"/>
  <c r="F70" i="13"/>
  <c r="E71" i="13" s="1"/>
  <c r="F71" i="13" s="1"/>
  <c r="G72" i="13" s="1"/>
  <c r="F14" i="13" s="1"/>
  <c r="H69" i="13"/>
  <c r="J69" i="13" s="1"/>
  <c r="J72" i="13" s="1"/>
  <c r="L205" i="13" s="1"/>
  <c r="E181" i="13"/>
  <c r="F181" i="13" s="1"/>
  <c r="F182" i="13" s="1"/>
  <c r="E183" i="13" s="1"/>
  <c r="F183" i="13" s="1"/>
  <c r="G184" i="13" s="1"/>
  <c r="F21" i="13" s="1"/>
  <c r="E121" i="13"/>
  <c r="F121" i="13" s="1"/>
  <c r="F122" i="13" s="1"/>
  <c r="E123" i="13" s="1"/>
  <c r="F123" i="13" s="1"/>
  <c r="G124" i="13" s="1"/>
  <c r="F17" i="13" s="1"/>
  <c r="E136" i="13"/>
  <c r="F136" i="13" s="1"/>
  <c r="F137" i="13" s="1"/>
  <c r="E138" i="13" s="1"/>
  <c r="F138" i="13" s="1"/>
  <c r="G139" i="13" s="1"/>
  <c r="F18" i="13" s="1"/>
  <c r="E166" i="13"/>
  <c r="F166" i="13" s="1"/>
  <c r="F167" i="13" s="1"/>
  <c r="E168" i="13" s="1"/>
  <c r="F168" i="13" s="1"/>
  <c r="G169" i="13" s="1"/>
  <c r="F20" i="13" s="1"/>
  <c r="D346" i="13"/>
  <c r="E347" i="13" s="1"/>
  <c r="F347" i="13" s="1"/>
  <c r="F348" i="13" s="1"/>
  <c r="E349" i="13" s="1"/>
  <c r="F349" i="13" s="1"/>
  <c r="G350" i="13" s="1"/>
  <c r="E88" i="13"/>
  <c r="F88" i="13" s="1"/>
  <c r="F89" i="13" s="1"/>
  <c r="E435" i="13"/>
  <c r="F435" i="13" s="1"/>
  <c r="G436" i="13" s="1"/>
  <c r="E200" i="13"/>
  <c r="F200" i="13" s="1"/>
  <c r="G211" i="13" l="1"/>
  <c r="P18" i="12"/>
  <c r="P17" i="12"/>
  <c r="F28" i="13"/>
  <c r="H436" i="13"/>
  <c r="G452" i="13"/>
  <c r="H452" i="13" s="1"/>
  <c r="E271" i="13"/>
  <c r="F271" i="13" s="1"/>
  <c r="F277" i="13" s="1"/>
  <c r="E278" i="13" s="1"/>
  <c r="F278" i="13" s="1"/>
  <c r="G279" i="13" s="1"/>
  <c r="F22" i="13"/>
  <c r="J474" i="13"/>
  <c r="F13" i="13"/>
  <c r="G393" i="13" l="1"/>
  <c r="F26" i="13" s="1"/>
  <c r="H279" i="13"/>
  <c r="J279" i="13" s="1"/>
  <c r="F29" i="13"/>
  <c r="F27" i="13" s="1"/>
  <c r="K474" i="13"/>
  <c r="G461" i="13"/>
  <c r="F36" i="13" l="1"/>
  <c r="G464" i="13"/>
  <c r="H464" i="13" l="1"/>
  <c r="E468" i="13"/>
  <c r="F468" i="13" s="1"/>
  <c r="G469" i="13" s="1"/>
  <c r="G471" i="13" s="1"/>
  <c r="F37" i="13" s="1"/>
  <c r="F38" i="13" l="1"/>
  <c r="G37" i="13" s="1"/>
  <c r="G474" i="13"/>
  <c r="G15" i="13" l="1"/>
  <c r="G23" i="13"/>
  <c r="G33" i="13"/>
  <c r="G32" i="13"/>
  <c r="G30" i="13"/>
  <c r="G34" i="13"/>
  <c r="G24" i="13"/>
  <c r="G25" i="13"/>
  <c r="G16" i="13"/>
  <c r="G35" i="13"/>
  <c r="G19" i="13"/>
  <c r="G31" i="13"/>
  <c r="G21" i="13"/>
  <c r="G20" i="13"/>
  <c r="G28" i="13"/>
  <c r="G29" i="13"/>
  <c r="G18" i="13"/>
  <c r="G17" i="13"/>
  <c r="G14" i="13"/>
  <c r="G13" i="13"/>
  <c r="G27" i="13"/>
  <c r="G22" i="13"/>
  <c r="G26" i="13"/>
  <c r="G36" i="13"/>
  <c r="G479" i="13"/>
  <c r="L474" i="13"/>
  <c r="G38" i="13" l="1"/>
  <c r="H481" i="13"/>
  <c r="J479" i="13"/>
  <c r="H479" i="13"/>
  <c r="I479" i="13" s="1"/>
  <c r="L16" i="12" l="1"/>
  <c r="H16" i="12"/>
  <c r="O16" i="12"/>
  <c r="K16" i="12"/>
  <c r="G16" i="12"/>
  <c r="N16" i="12"/>
  <c r="J16" i="12"/>
  <c r="F16" i="12"/>
  <c r="D16" i="12"/>
  <c r="M16" i="12"/>
  <c r="I16" i="12"/>
  <c r="E16" i="12"/>
  <c r="P16" i="12" l="1"/>
  <c r="O15" i="12" l="1"/>
  <c r="K15" i="12"/>
  <c r="G15" i="12"/>
  <c r="N15" i="12"/>
  <c r="J15" i="12"/>
  <c r="F15" i="12"/>
  <c r="M15" i="12"/>
  <c r="I15" i="12"/>
  <c r="E15" i="12"/>
  <c r="L15" i="12"/>
  <c r="H15" i="12"/>
  <c r="D15" i="12"/>
  <c r="F2" i="8"/>
  <c r="E238" i="8" s="1"/>
  <c r="P15" i="12" l="1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243" i="8"/>
  <c r="H243" i="8" s="1"/>
  <c r="G120" i="8"/>
  <c r="H120" i="8" s="1"/>
  <c r="G92" i="8"/>
  <c r="H92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N14" i="12" l="1"/>
  <c r="J14" i="12"/>
  <c r="F14" i="12"/>
  <c r="M14" i="12"/>
  <c r="I14" i="12"/>
  <c r="E14" i="12"/>
  <c r="L14" i="12"/>
  <c r="H14" i="12"/>
  <c r="D14" i="12"/>
  <c r="O14" i="12"/>
  <c r="K14" i="12"/>
  <c r="G14" i="12"/>
  <c r="P14" i="12" l="1"/>
  <c r="G19" i="12" l="1"/>
  <c r="G28" i="12" s="1"/>
  <c r="G29" i="12" s="1"/>
  <c r="K19" i="12"/>
  <c r="K28" i="12" s="1"/>
  <c r="K29" i="12" s="1"/>
  <c r="L19" i="12"/>
  <c r="L28" i="12" s="1"/>
  <c r="L29" i="12" s="1"/>
  <c r="N19" i="12"/>
  <c r="N28" i="12" s="1"/>
  <c r="N29" i="12" s="1"/>
  <c r="C28" i="12"/>
  <c r="I19" i="12"/>
  <c r="I28" i="12" s="1"/>
  <c r="I29" i="12" s="1"/>
  <c r="D19" i="12"/>
  <c r="J19" i="12"/>
  <c r="J28" i="12" s="1"/>
  <c r="J29" i="12" s="1"/>
  <c r="F19" i="12"/>
  <c r="F28" i="12" s="1"/>
  <c r="F29" i="12" s="1"/>
  <c r="M19" i="12"/>
  <c r="M28" i="12" s="1"/>
  <c r="M29" i="12" s="1"/>
  <c r="H19" i="12"/>
  <c r="H28" i="12" s="1"/>
  <c r="H29" i="12" s="1"/>
  <c r="E19" i="12"/>
  <c r="E28" i="12" s="1"/>
  <c r="E29" i="12" s="1"/>
  <c r="O19" i="12"/>
  <c r="O28" i="12" s="1"/>
  <c r="O29" i="12" s="1"/>
  <c r="D28" i="12" l="1"/>
  <c r="D29" i="12" s="1"/>
  <c r="D30" i="12" s="1"/>
  <c r="E30" i="12" s="1"/>
  <c r="F30" i="12" s="1"/>
  <c r="G30" i="12" s="1"/>
  <c r="H30" i="12" s="1"/>
  <c r="I30" i="12" s="1"/>
  <c r="J30" i="12" s="1"/>
  <c r="K30" i="12" s="1"/>
  <c r="L30" i="12" s="1"/>
  <c r="M30" i="12" s="1"/>
  <c r="N30" i="12" s="1"/>
  <c r="O30" i="12" s="1"/>
  <c r="P19" i="12"/>
  <c r="P28" i="12" s="1"/>
  <c r="P29" i="12" s="1"/>
  <c r="K479" i="13" l="1"/>
  <c r="L479" i="13" s="1"/>
</calcChain>
</file>

<file path=xl/comments1.xml><?xml version="1.0" encoding="utf-8"?>
<comments xmlns="http://schemas.openxmlformats.org/spreadsheetml/2006/main">
  <authors>
    <author>Clauber Bridi</author>
  </authors>
  <commentList>
    <comment ref="B11" authorId="0" shapeId="0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8" authorId="0" shapeId="0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3" authorId="0" shapeId="0">
      <text>
        <r>
          <rPr>
            <sz val="9"/>
            <color indexed="81"/>
            <rFont val="Tahoma"/>
            <family val="2"/>
          </rPr>
          <t>Piso da categoria fixado na Convenção Coletiva 2017 R$1.172,97, avrecentado de 3,75% projeção inflação 2018</t>
        </r>
      </text>
    </comment>
    <comment ref="I63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 2017 R$1.172,97, avrecentado de 3,75% projeção inflação 2018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5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B66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9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71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7" authorId="0" shapeId="0">
      <text>
        <r>
          <rPr>
            <sz val="9"/>
            <color indexed="81"/>
            <rFont val="Tahoma"/>
            <family val="2"/>
          </rPr>
          <t>Informar o número de horas noturnas trabalhadas no intervalo das 22:00h as 5:00h</t>
        </r>
      </text>
    </comment>
    <comment ref="D79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D80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noturno (das 22:00h as 5h) nos domingos e feriados
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D83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(das 22:00h as 5h) de segunda a sábado</t>
        </r>
      </text>
    </comment>
    <comment ref="B85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Considerados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88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E92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Coletiva. Site neuvoo.com.br. Referência 03/07 2018</t>
        </r>
      </text>
    </comment>
    <comment ref="I92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 2017 R$1.172,97, avrecentado de 3,75% projeção inflação 2018</t>
        </r>
      </text>
    </comment>
    <comment ref="E93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D94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D95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B96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97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D98" authorId="0" shape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D100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102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09" authorId="0" shapeId="0">
      <text>
        <r>
          <rPr>
            <sz val="9"/>
            <color indexed="81"/>
            <rFont val="Tahoma"/>
            <family val="2"/>
          </rPr>
          <t>Informar o número de horas noturnas trabalhadas no intervalo das 22:00h as 5:00h</t>
        </r>
      </text>
    </comment>
    <comment ref="D111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nos domingos e feriados</t>
        </r>
      </text>
    </comment>
    <comment ref="D112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noturno (das 22:00h as 5h) nos domingos e feriados
</t>
        </r>
      </text>
    </comment>
    <comment ref="D114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D115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(das 22:00h as 5h) de segunda a sábado</t>
        </r>
      </text>
    </comment>
    <comment ref="B117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Considerados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18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D121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123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E128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E129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D130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D131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B132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33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D134" authorId="0" shape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D136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138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E143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E144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D145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D146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B147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48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D149" authorId="0" shape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D151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153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E158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E159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D160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D161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B162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3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D164" authorId="0" shape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D166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168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E173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E174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D175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D176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B177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78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D179" authorId="0" shape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D181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183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E189" authorId="0" shapeId="0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E190" authorId="0" shapeId="0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E195" authorId="0" shapeId="0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D196" authorId="0" shapeId="0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E197" authorId="0" shapeId="0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E198" authorId="0" shapeId="0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E205" authorId="0" shapeId="0">
      <text>
        <r>
          <rPr>
            <sz val="9"/>
            <color indexed="81"/>
            <rFont val="Tahoma"/>
            <family val="2"/>
          </rPr>
          <t xml:space="preserve">O valor unitário diário do vale refeição conforme Convenção Coletiva da categoria 2017/2017 R$15,55
Desconto máximo de 17,5%
</t>
        </r>
      </text>
    </comment>
    <comment ref="E206" authorId="0" shapeId="0">
      <text>
        <r>
          <rPr>
            <sz val="9"/>
            <color indexed="81"/>
            <rFont val="Tahoma"/>
            <family val="2"/>
          </rPr>
          <t xml:space="preserve">O valor unitário diário do vale refeição conforme Convenção Coletiva da categoria 2017/2017 R$15,55
Desconto máximo de 17,5%
</t>
        </r>
      </text>
    </comment>
    <comment ref="D217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17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18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18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19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19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20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20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21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21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22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22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23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23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24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24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25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25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26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26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E227" authorId="0" shape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D233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34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35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36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37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38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E239" authorId="0" shape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E251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D252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D253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D254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56" authorId="0" shapeId="0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D257" authorId="0" shapeId="0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D258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D259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62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D268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78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D283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D284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E284" authorId="0" shape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285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E285" authorId="0" shape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C290" authorId="0" shapeId="0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D292" authorId="0" shapeId="0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E292" authorId="0" shapeId="0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D294" authorId="0" shapeId="0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E294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D296" authorId="0" shapeId="0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E296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D298" authorId="0" shapeId="0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E298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300" authorId="0" shapeId="0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E300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E307" authorId="0" shapeId="0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D312" authorId="0" shapeId="0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E312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D313" authorId="0" shapeId="0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E314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D315" authorId="0" shapeId="0">
      <text>
        <r>
          <rPr>
            <sz val="9"/>
            <color indexed="81"/>
            <rFont val="Tahoma"/>
            <family val="2"/>
          </rPr>
          <t xml:space="preserve">Informar a durabilidade média dos pneus considerando as recapagens, em km
</t>
        </r>
      </text>
    </comment>
    <comment ref="E322" authorId="0" shape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D323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D324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D325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27" authorId="0" shapeId="0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D328" authorId="0" shapeId="0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D329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D330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33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D339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55" authorId="0" shape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E356" authorId="0" shape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C362" authorId="0" shapeId="0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D365" authorId="0" shapeId="0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E365" authorId="0" shapeId="0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D367" authorId="0" shapeId="0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E367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D369" authorId="0" shapeId="0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E369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D371" authorId="0" shapeId="0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E371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373" authorId="0" shapeId="0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E373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E380" authorId="0" shapeId="0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D385" authorId="0" shapeId="0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E385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D386" authorId="0" shapeId="0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E387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D388" authorId="0" shapeId="0">
      <text>
        <r>
          <rPr>
            <sz val="9"/>
            <color indexed="81"/>
            <rFont val="Tahoma"/>
            <family val="2"/>
          </rPr>
          <t xml:space="preserve">Informar a durabilidade média dos pneus considerando as recapagens, em km
</t>
        </r>
      </text>
    </comment>
    <comment ref="D398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398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D399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399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D400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400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D401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401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D402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E402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D403" authorId="0" shape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B408" authorId="0" shapeId="0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11" authorId="0" shapeId="0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E413" authorId="0" shapeId="0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E415" authorId="0" shapeId="0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B421" authorId="0" shapeId="0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25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Coletiva. Site neuvoo.com.br. Referência 03/07 2018</t>
        </r>
      </text>
    </comment>
    <comment ref="E426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D427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D428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B429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30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D431" authorId="0" shape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D433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D435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E439" authorId="0" shapeId="0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D440" authorId="0" shapeId="0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E443" authorId="0" shapeId="0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E449" authorId="0" shapeId="0">
      <text>
        <r>
          <rPr>
            <sz val="9"/>
            <color indexed="81"/>
            <rFont val="Tahoma"/>
            <family val="2"/>
          </rPr>
          <t xml:space="preserve">O valor unitário diário do vale refeição conforme Convenção Coletiva da categoria 2017/2017 R$15,55
Desconto máximo de 17,5%
</t>
        </r>
      </text>
    </comment>
    <comment ref="E455" authorId="0" shapeId="0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D468" authorId="0" shapeId="0">
      <text>
        <r>
          <rPr>
            <sz val="9"/>
            <color indexed="81"/>
            <rFont val="Tahoma"/>
            <family val="2"/>
          </rPr>
          <t>Preencher a aba 4.BDI</t>
        </r>
      </text>
    </comment>
    <comment ref="E477" authorId="0" shapeId="0">
      <text>
        <r>
          <rPr>
            <sz val="9"/>
            <color indexed="81"/>
            <rFont val="Tahoma"/>
            <family val="2"/>
          </rPr>
          <t xml:space="preserve">Informar a quantidade média coletada nos últimos 12 meses
</t>
        </r>
      </text>
    </comment>
  </commentList>
</comments>
</file>

<file path=xl/comments2.xml><?xml version="1.0" encoding="utf-8"?>
<comments xmlns="http://schemas.openxmlformats.org/spreadsheetml/2006/main">
  <authors>
    <author>Omar</author>
  </authors>
  <commentList>
    <comment ref="D14" authorId="0" shapeId="0">
      <text>
        <r>
          <rPr>
            <sz val="9"/>
            <color indexed="81"/>
            <rFont val="Tahoma"/>
            <family val="2"/>
          </rPr>
          <t>retorna a geração diária a ser recolhida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</rPr>
          <t>Informar o valor anual da taxa financeira, em percentual. Admite-se utilizar a SELIC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<sst xmlns="http://schemas.openxmlformats.org/spreadsheetml/2006/main" count="1517" uniqueCount="536">
  <si>
    <t>unidade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</si>
  <si>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</si>
  <si>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</si>
  <si>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</si>
  <si>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</si>
  <si>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</si>
  <si>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</si>
  <si>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</si>
  <si>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</si>
  <si>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</si>
  <si>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</si>
  <si>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</si>
  <si>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</si>
  <si>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</si>
  <si>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</si>
  <si>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</si>
  <si>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</si>
  <si>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</si>
  <si>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</si>
  <si>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</si>
  <si>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</si>
  <si>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</si>
  <si>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</si>
  <si>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</si>
  <si>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</si>
  <si>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</si>
  <si>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</si>
  <si>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</si>
  <si>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</si>
  <si>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</si>
  <si>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</si>
  <si>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</si>
  <si>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</si>
  <si>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</si>
  <si>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</si>
  <si>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</si>
  <si>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</si>
  <si>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</si>
  <si>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</si>
  <si>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</si>
  <si>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</si>
  <si>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</si>
  <si>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</si>
  <si>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</si>
  <si>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</si>
  <si>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</si>
  <si>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</si>
  <si>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</si>
  <si>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</si>
  <si>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</si>
  <si>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</si>
  <si>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</si>
  <si>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</si>
  <si>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</si>
  <si>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</si>
  <si>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</si>
  <si>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</si>
  <si>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</si>
  <si>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</si>
  <si>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</si>
  <si>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</si>
  <si>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</si>
  <si>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</si>
  <si>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</si>
  <si>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</si>
  <si>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</si>
  <si>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</si>
  <si>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</si>
  <si>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</si>
  <si>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</si>
  <si>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</si>
  <si>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</si>
  <si>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</si>
  <si>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</si>
  <si>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</si>
  <si>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</si>
  <si>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</si>
  <si>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</si>
  <si>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</si>
  <si>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</si>
  <si>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</si>
  <si>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</si>
  <si>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</si>
  <si>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</si>
  <si>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</si>
  <si>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</si>
  <si>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</si>
  <si>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</si>
  <si>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</si>
  <si>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</si>
  <si>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</si>
  <si>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</si>
  <si>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</si>
  <si>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</si>
  <si>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</si>
  <si>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</si>
  <si>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</si>
  <si>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</si>
  <si>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</si>
  <si>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</si>
  <si>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</si>
  <si>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</si>
  <si>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</si>
  <si>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</si>
  <si>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</si>
  <si>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</si>
  <si>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</si>
  <si>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</si>
  <si>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</si>
  <si>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</si>
  <si>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</si>
  <si>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</si>
  <si>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</si>
  <si>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</si>
  <si>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</si>
  <si>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</si>
  <si>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</si>
  <si>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</si>
  <si>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</si>
  <si>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</si>
  <si>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</si>
  <si>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</si>
  <si>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</si>
  <si>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</si>
  <si>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</si>
  <si>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</si>
  <si>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</si>
  <si>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</si>
  <si>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</si>
  <si>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</si>
  <si>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</si>
  <si>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</si>
  <si>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>Tipo de Objeto</t>
  </si>
  <si>
    <t>Obras e Serviços de Engenharia</t>
  </si>
  <si>
    <t>Família</t>
  </si>
  <si>
    <t>Descrição</t>
  </si>
  <si>
    <t>Outros Serviços</t>
  </si>
  <si>
    <t>Compras</t>
  </si>
  <si>
    <t>Compras e Outros Serviços</t>
  </si>
  <si>
    <t>Locações</t>
  </si>
  <si>
    <t>Mão-de-obra</t>
  </si>
  <si>
    <t>cj</t>
  </si>
  <si>
    <t>dia</t>
  </si>
  <si>
    <t>hora</t>
  </si>
  <si>
    <t>mês</t>
  </si>
  <si>
    <t>par</t>
  </si>
  <si>
    <t>km</t>
  </si>
  <si>
    <t>Código</t>
  </si>
  <si>
    <t>apoio1</t>
  </si>
  <si>
    <t>apoio2</t>
  </si>
  <si>
    <t>alimentacao humana especial/manipuladas/fracionada</t>
  </si>
  <si>
    <t>Código Família</t>
  </si>
  <si>
    <t>1.0</t>
  </si>
  <si>
    <t>2.0</t>
  </si>
  <si>
    <t>%</t>
  </si>
  <si>
    <t>RIO GRANDE DO SUL</t>
  </si>
  <si>
    <t>PREFEITURA MUNICIPAL DE SÃO SEPÉ</t>
  </si>
  <si>
    <t>CRONOGRAMA FÍSICO-FINANCEIRO</t>
  </si>
  <si>
    <t>OBRA</t>
  </si>
  <si>
    <t>LOCAL</t>
  </si>
  <si>
    <t>ITEM</t>
  </si>
  <si>
    <t>SERVIÇOS/ETAPAS</t>
  </si>
  <si>
    <t>1º Mês</t>
  </si>
  <si>
    <t>TOTAL</t>
  </si>
  <si>
    <t>TOTAL NO MÊS</t>
  </si>
  <si>
    <t>TOTAL ACUMULADO</t>
  </si>
  <si>
    <t>Leocarlos Girardello</t>
  </si>
  <si>
    <t>Prefeito Municipal</t>
  </si>
  <si>
    <t>Eng. Civil Jander Manoel Silva da Silva</t>
  </si>
  <si>
    <t>_________________________________________</t>
  </si>
  <si>
    <t xml:space="preserve">        Eng. Civil Jander Manoel Silva da Silva </t>
  </si>
  <si>
    <t xml:space="preserve">                            CREA RS 68989</t>
  </si>
  <si>
    <t>CREA RS 68989</t>
  </si>
  <si>
    <t>AÇÃO</t>
  </si>
  <si>
    <t>MÃO DE OBRA</t>
  </si>
  <si>
    <t>Encargos Sociais</t>
  </si>
  <si>
    <t>Vale Transporte</t>
  </si>
  <si>
    <t>PERÍMETRO URBANO</t>
  </si>
  <si>
    <t>UNIFORMES E EQUIPAMENTOS DE PROTEÇÃO INDIVIDUAL (EPI)</t>
  </si>
  <si>
    <t>VEÍCULOS</t>
  </si>
  <si>
    <t>IPVA</t>
  </si>
  <si>
    <t>3.0</t>
  </si>
  <si>
    <t>Motorista</t>
  </si>
  <si>
    <t>Coletor</t>
  </si>
  <si>
    <t>1. Esta planilha é somente um modelo-base. Qualquer custo previsto no edital e não contemplado nesta planilha deverá ser devidamente incluído</t>
  </si>
  <si>
    <t>3. As células azuis deverão ter seus valores preenchidos em outra planilha do arquivo.</t>
  </si>
  <si>
    <t>Planilha de Composição de Custos</t>
  </si>
  <si>
    <t>Orçamento Sintético</t>
  </si>
  <si>
    <t>Descrição do Item</t>
  </si>
  <si>
    <t>Custo (R$/mês)</t>
  </si>
  <si>
    <t>PREÇO TOTAL MENSAL COM A COLETA</t>
  </si>
  <si>
    <t>Quantitativos</t>
  </si>
  <si>
    <t>Quantidade</t>
  </si>
  <si>
    <t>Total de mão-de-obra (postos de trabalho)</t>
  </si>
  <si>
    <t>Veículos e Equipamentos</t>
  </si>
  <si>
    <t xml:space="preserve">                             </t>
  </si>
  <si>
    <t>Total de Veiculos e Equipamentos</t>
  </si>
  <si>
    <t>Fator de utilização (FU)</t>
  </si>
  <si>
    <t>1. Mão-de-obra</t>
  </si>
  <si>
    <t>1.1.  Coletor Turno Dia</t>
  </si>
  <si>
    <t>Discriminação</t>
  </si>
  <si>
    <t>Unidade</t>
  </si>
  <si>
    <t>Custo unitário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</si>
  <si>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</si>
  <si>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</si>
  <si>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Piso da categoria  (CBO n.º 5142)</t>
  </si>
  <si>
    <t>Horas Extras (100%)</t>
  </si>
  <si>
    <t>Horas Extras (50%)</t>
  </si>
  <si>
    <t>Descanso Semanal Remunerado (DSR) - hora extra</t>
  </si>
  <si>
    <t>R$</t>
  </si>
  <si>
    <t>Adicional de Insalubridade (CBO n.º 5142-05)</t>
  </si>
  <si>
    <t>Soma</t>
  </si>
  <si>
    <t>Total por Coletor</t>
  </si>
  <si>
    <t>Total do Efetivo</t>
  </si>
  <si>
    <t>homem</t>
  </si>
  <si>
    <t>Fator de utilização</t>
  </si>
  <si>
    <t>1.2. Coletor Turno Noite</t>
  </si>
  <si>
    <t>Piso da categoria</t>
  </si>
  <si>
    <t>Adicional Noturno</t>
  </si>
  <si>
    <t>horas trabalhadas</t>
  </si>
  <si>
    <t>hora contabilizada</t>
  </si>
  <si>
    <t>Horas Extras Noturnas (100%)</t>
  </si>
  <si>
    <t>Horas Extras Noturnas (50%)</t>
  </si>
  <si>
    <t>Adicional de Insalubridade</t>
  </si>
  <si>
    <t>1.2. Motorista Turno do Dia</t>
  </si>
  <si>
    <t>Piso da categoria (1)</t>
  </si>
  <si>
    <t>Salário mínimo nacional (2)</t>
  </si>
  <si>
    <t>Base de cálculo da Insalubridade</t>
  </si>
  <si>
    <t>Total por Motorista</t>
  </si>
  <si>
    <t>1.4. Motorista Turno Noite</t>
  </si>
  <si>
    <t>Salário mínimo nacional</t>
  </si>
  <si>
    <t>1.5. Encarregado</t>
  </si>
  <si>
    <t>1.6. Tecnico Administrativo</t>
  </si>
  <si>
    <t>1.7. Responsavel Tecnico</t>
  </si>
  <si>
    <t>1.8. Tecnico de Segurança do Trabalho</t>
  </si>
  <si>
    <t>1.11. Auxílio Alimentação (mensal)</t>
  </si>
  <si>
    <t xml:space="preserve">1.3. Vale Transporte </t>
  </si>
  <si>
    <t>Dias Trabalhados por mês</t>
  </si>
  <si>
    <t>vale</t>
  </si>
  <si>
    <t>Tecnico Administrativo</t>
  </si>
  <si>
    <t>Tecnico de Segurança do Trabalho</t>
  </si>
  <si>
    <t>1.4. Vale-refeição (diário)</t>
  </si>
  <si>
    <t>Custo Mensal com Mão-de-obra (R$/mês)</t>
  </si>
  <si>
    <t>2. Uniformes e Equipamentos de Proteção Individual</t>
  </si>
  <si>
    <t>2.1. Uniformes e EPIs para Coletor</t>
  </si>
  <si>
    <t>Durabilidade (meses)</t>
  </si>
  <si>
    <t>Jaqueta com reflexivo (NBR 15.292)</t>
  </si>
  <si>
    <t>Calça</t>
  </si>
  <si>
    <t>Camiseta</t>
  </si>
  <si>
    <t>Boné</t>
  </si>
  <si>
    <t>Botina de segurança c/ palmilha aço</t>
  </si>
  <si>
    <t>Meia de algodão com cano alto</t>
  </si>
  <si>
    <t>Capa de chuva amarela com reflexivo</t>
  </si>
  <si>
    <t>Colete reflexivo</t>
  </si>
  <si>
    <t>Luva de proteção</t>
  </si>
  <si>
    <t>Protetor solar FPS 30</t>
  </si>
  <si>
    <t>frasco 120g</t>
  </si>
  <si>
    <t>Higienização de uniformes e EPIs</t>
  </si>
  <si>
    <t>R$ mensal</t>
  </si>
  <si>
    <t>2.2. Uniformes e EPIs para motoristas</t>
  </si>
  <si>
    <t>Custo Mensal com Uniformes e EPIs (R$/mês)</t>
  </si>
  <si>
    <t>3. Veículos e Equipamentos</t>
  </si>
  <si>
    <r>
      <t>3.1. Veículo Coletor Compactador</t>
    </r>
    <r>
      <rPr>
        <sz val="10"/>
        <color indexed="10"/>
        <rFont val="Arial"/>
        <family val="2"/>
      </rPr>
      <t xml:space="preserve"> 15</t>
    </r>
    <r>
      <rPr>
        <sz val="10"/>
        <rFont val="Arial"/>
        <family val="2"/>
      </rPr>
      <t xml:space="preserve"> m³ - Caminhão tipo "Truck": PTB 16,8 ton.</t>
    </r>
  </si>
  <si>
    <t>3.1.1. Depreciação</t>
  </si>
  <si>
    <t>Custo de aquisição do chassis</t>
  </si>
  <si>
    <t>Vida útil do chassis</t>
  </si>
  <si>
    <t>anos</t>
  </si>
  <si>
    <t>Idade do veículo</t>
  </si>
  <si>
    <t>Depreciação do chassis</t>
  </si>
  <si>
    <t>Depreciação mensal veículos coletores</t>
  </si>
  <si>
    <t>Custo de aquisição do compactador</t>
  </si>
  <si>
    <t>Vida útil do compactador</t>
  </si>
  <si>
    <t>Idade do compactador</t>
  </si>
  <si>
    <t>Depreciação do compactador</t>
  </si>
  <si>
    <t>Depreciação mensal do compactador</t>
  </si>
  <si>
    <t>Total por veículo</t>
  </si>
  <si>
    <t>Total da frota</t>
  </si>
  <si>
    <t>3.1.2. Remuneração do Capital</t>
  </si>
  <si>
    <t>Custo do chassis</t>
  </si>
  <si>
    <t>Taxa de juros anual nominal (Selic 2018)</t>
  </si>
  <si>
    <t>Valor do veículo proposto (V0)</t>
  </si>
  <si>
    <t>Investimento médio total do chassis</t>
  </si>
  <si>
    <t>Remuneração mensal de capital do chassis</t>
  </si>
  <si>
    <t>Custo do compactador "De Lixo Roll On Roll Off 17m3" novo, marca GGS</t>
  </si>
  <si>
    <t>Valor do compactador proposto (V0)</t>
  </si>
  <si>
    <t>Investimento médio total do compactador</t>
  </si>
  <si>
    <t>Remuneração mensal de capital do compactador</t>
  </si>
  <si>
    <t>3.1.3. Impostos e Seguros</t>
  </si>
  <si>
    <t>Licenciamento e Seguro obrigatório</t>
  </si>
  <si>
    <t>Seguro contra terceiros</t>
  </si>
  <si>
    <t>Impostos e seguros mensais</t>
  </si>
  <si>
    <t>3.1.4. Consumos</t>
  </si>
  <si>
    <t>Quilometragem mensal</t>
  </si>
  <si>
    <t>Consumo</t>
  </si>
  <si>
    <t>Custo de óleo diesel / km rodado</t>
  </si>
  <si>
    <t>km/l</t>
  </si>
  <si>
    <t>Custo mensal com óleo diesel</t>
  </si>
  <si>
    <t>Custo de óleo do motor /1.000 km rodados</t>
  </si>
  <si>
    <t>l/1.000 km</t>
  </si>
  <si>
    <t>Custo mensal com óleo do motor</t>
  </si>
  <si>
    <t>Custo de óleo da transmissão /1.000 km</t>
  </si>
  <si>
    <t>Custo mensal com óleo da transmissão</t>
  </si>
  <si>
    <t>Custo de óleo hidráulico / 1.000 km</t>
  </si>
  <si>
    <t>Custo mensal com óleo hidráulico</t>
  </si>
  <si>
    <t>Custo de graxa /1.000 km rodados</t>
  </si>
  <si>
    <t>kg/1.000 km</t>
  </si>
  <si>
    <t>Custo mensal com graxa</t>
  </si>
  <si>
    <t>Custo com consumos/km rodado</t>
  </si>
  <si>
    <t>R$/km rodado</t>
  </si>
  <si>
    <t>3.1.5. Manutenção</t>
  </si>
  <si>
    <t>Custo de manutenção dos caminhões</t>
  </si>
  <si>
    <t>3.1.6. Pneus</t>
  </si>
  <si>
    <t>Custo do jogo de pneus xxx/xx Rxx</t>
  </si>
  <si>
    <t>Número de recapagens por pneu</t>
  </si>
  <si>
    <t>Custo de recapagem</t>
  </si>
  <si>
    <r>
      <t xml:space="preserve">Custo jg. compl. + </t>
    </r>
    <r>
      <rPr>
        <sz val="10"/>
        <color indexed="10"/>
        <rFont val="Arial"/>
        <family val="2"/>
      </rPr>
      <t>X</t>
    </r>
    <r>
      <rPr>
        <sz val="10"/>
        <rFont val="Arial"/>
        <family val="2"/>
      </rPr>
      <t xml:space="preserve"> recap./ km rodado</t>
    </r>
  </si>
  <si>
    <t>km/jogo</t>
  </si>
  <si>
    <t>Custo mensal com pneus</t>
  </si>
  <si>
    <t>3.3. Veículo Bau</t>
  </si>
  <si>
    <t>Taxa de juros anual nominal</t>
  </si>
  <si>
    <t>Custo do compactador</t>
  </si>
  <si>
    <t>Custo Mensal com Veículos e Equipamentos (R$/mês)</t>
  </si>
  <si>
    <t>4. Ferramentas e Materiais de Consumo</t>
  </si>
  <si>
    <t>Recipiente térmico para água (5L)</t>
  </si>
  <si>
    <t>Pá de Concha</t>
  </si>
  <si>
    <t>Vassoura</t>
  </si>
  <si>
    <t>Publicidade (adesivos equipamentos)</t>
  </si>
  <si>
    <t>Publicidade (adesivos veículos)</t>
  </si>
  <si>
    <t>Total de Ferramentas e material de Consumo</t>
  </si>
  <si>
    <t>Custo Mensal com Ferramentas e Materiais de Consumo (R$/mês)</t>
  </si>
  <si>
    <t>5. Monitoramento da Frota</t>
  </si>
  <si>
    <t>Implantação dos equipamentos de monitoramento</t>
  </si>
  <si>
    <t>Custo mensal com implantação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</si>
  <si>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</si>
  <si>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</si>
  <si>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</si>
  <si>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</si>
  <si>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6. Administração Local</t>
  </si>
  <si>
    <t>6.1 Encarregado</t>
  </si>
  <si>
    <t>6.2. Vale Transporte</t>
  </si>
  <si>
    <t>Encarregado</t>
  </si>
  <si>
    <t>6.3. Vale Refeição</t>
  </si>
  <si>
    <t>Custo Mensal com Mão-de-obra adm operacional(R$/mês)</t>
  </si>
  <si>
    <t>Aluguel de Patio</t>
  </si>
  <si>
    <t>Comunicação Movel</t>
  </si>
  <si>
    <t>Escritório e garagem veículos (locação, luz, água, internet, vigilância)</t>
  </si>
  <si>
    <t>Custo mensal com administração local</t>
  </si>
  <si>
    <t>Custo Mensal com Administração Local (R$/mês)</t>
  </si>
  <si>
    <t>CUSTO TOTAL MENSAL COM DESPESAS OPERACIONAIS (R$/mês)</t>
  </si>
  <si>
    <t>7. Benefícios e Despesas Indiretas - BDI</t>
  </si>
  <si>
    <t>Benefícios e despesas indiretas</t>
  </si>
  <si>
    <t>CUSTO MENSAL COM BDI (R$/mês)</t>
  </si>
  <si>
    <t>PREÇO MENSAL TOTAL (R$/mês)</t>
  </si>
  <si>
    <t xml:space="preserve">Quantidade média de resíduos coletados por mês: </t>
  </si>
  <si>
    <t>toneladas</t>
  </si>
  <si>
    <t>PREÇO POR TONELADA COLETADA:  [A/B]</t>
  </si>
  <si>
    <t>R$/tonelada</t>
  </si>
  <si>
    <t xml:space="preserve">                                                                            Eng. Civil Jander Manoel Silva da Silva</t>
  </si>
  <si>
    <t>1. Esta planilha é somente um modelo de cálculo expedito e deve ser ajustada conforme cada caso concreto.</t>
  </si>
  <si>
    <t>2. Dimensionar separadamente setores atendidos por veículos de capacidade de carga diferentes.</t>
  </si>
  <si>
    <t>3. Preencher somente células em amarelo</t>
  </si>
  <si>
    <t>Indicador</t>
  </si>
  <si>
    <t>Unid</t>
  </si>
  <si>
    <t>Valor</t>
  </si>
  <si>
    <t>População (H)</t>
  </si>
  <si>
    <t>hab</t>
  </si>
  <si>
    <t>Geração per capita (G)</t>
  </si>
  <si>
    <t>Kg/hab.dia</t>
  </si>
  <si>
    <t>Geração total diária (Qd)</t>
  </si>
  <si>
    <t>ton/dia</t>
  </si>
  <si>
    <t>Geração Mensal</t>
  </si>
  <si>
    <t>ton</t>
  </si>
  <si>
    <t>Número de dias de coleta por semana (Dc)</t>
  </si>
  <si>
    <t>Quantitativo diário de coleta (Qc)</t>
  </si>
  <si>
    <t>Densidade RSU compactado</t>
  </si>
  <si>
    <t>Kg/m³</t>
  </si>
  <si>
    <t>Tipo de Veículo (1 = toco, 2 = truck)</t>
  </si>
  <si>
    <t>Capacidade do Compactador</t>
  </si>
  <si>
    <t>m³</t>
  </si>
  <si>
    <t>Capacidade nominal de carga (Cc)</t>
  </si>
  <si>
    <t>Número de Cargas por dia (Nc)</t>
  </si>
  <si>
    <t>Número total de percursos de coleta por veículo, por dia (Np)</t>
  </si>
  <si>
    <t>Número de veículos da Frota (F)</t>
  </si>
  <si>
    <t>REGIÃO</t>
  </si>
  <si>
    <t>TRECHOS MAIS DISTANTES</t>
  </si>
  <si>
    <t>KM</t>
  </si>
  <si>
    <t>DIAS</t>
  </si>
  <si>
    <t>KM / MÊS</t>
  </si>
  <si>
    <t>IDA E VOLTA</t>
  </si>
  <si>
    <t>PERIODICIDADE</t>
  </si>
  <si>
    <t>TURNO</t>
  </si>
  <si>
    <t>CENTRAL</t>
  </si>
  <si>
    <t>DIÁRIA</t>
  </si>
  <si>
    <t>SEG/QUA/SEX</t>
  </si>
  <si>
    <t>MANHÃ</t>
  </si>
  <si>
    <t>L</t>
  </si>
  <si>
    <t>NORTE</t>
  </si>
  <si>
    <t xml:space="preserve">Bairros Lili, kurtz, Medianeira, Lôndero, Walter, Rosa </t>
  </si>
  <si>
    <t>Vila Block (Trajeto para aterro Santa Maria) acesso Vila e Encruzilhada</t>
  </si>
  <si>
    <t>SUL</t>
  </si>
  <si>
    <t>TER/QUI/SAB</t>
  </si>
  <si>
    <t xml:space="preserve">Posto Boqueirão BR 290. </t>
  </si>
  <si>
    <t xml:space="preserve">LESTE </t>
  </si>
  <si>
    <t>Vila Shirmer até Baixo Grande</t>
  </si>
  <si>
    <t>OESTE</t>
  </si>
  <si>
    <t>Associação Cotrisel.</t>
  </si>
  <si>
    <t>CIDADE SANTA MARIA</t>
  </si>
  <si>
    <t>ATERRO SANITÁRIO</t>
  </si>
  <si>
    <t>5. Depreciação Referencial TCE/RS (%)</t>
  </si>
  <si>
    <t>Idade do veículo (ano)</t>
  </si>
  <si>
    <t>Depreciação Média</t>
  </si>
  <si>
    <t xml:space="preserve">    ___________________________________</t>
  </si>
  <si>
    <t xml:space="preserve">        ___________________________ </t>
  </si>
  <si>
    <t>Fórmula de cálculo da remuneração de capital: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</si>
  <si>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</si>
  <si>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t>i = taxa de juros do mercado (sugere-se adotar a taxa SELIC)</t>
  </si>
  <si>
    <t>Im = investimento médio</t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</si>
  <si>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</si>
  <si>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</si>
  <si>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n = vida útil do bem em anos</t>
  </si>
  <si>
    <t>Eng. Civil Jander Manoel Silva da Silva              Leocarlos Girardello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</si>
  <si>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</si>
  <si>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</si>
  <si>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</si>
  <si>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</si>
  <si>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</si>
  <si>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</si>
  <si>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</si>
  <si>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</si>
  <si>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</si>
  <si>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</si>
  <si>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</si>
  <si>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</si>
  <si>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</si>
  <si>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</si>
  <si>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</si>
  <si>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</si>
  <si>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</si>
  <si>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</si>
  <si>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</si>
  <si>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</si>
  <si>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</si>
  <si>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</si>
  <si>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</si>
  <si>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</si>
  <si>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</si>
  <si>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</si>
  <si>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</si>
  <si>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</si>
  <si>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</si>
  <si>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</si>
  <si>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</si>
  <si>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</si>
  <si>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</si>
  <si>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</si>
  <si>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</si>
  <si>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</si>
  <si>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</si>
  <si>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</si>
  <si>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</si>
  <si>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</si>
  <si>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</si>
  <si>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</si>
  <si>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</si>
  <si>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</si>
  <si>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</si>
  <si>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</si>
  <si>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</si>
  <si>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</si>
  <si>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</si>
  <si>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</si>
  <si>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</si>
  <si>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 xml:space="preserve">        ___________________________________________</t>
  </si>
  <si>
    <t>4. Composição do BDI - Benefícios e Despesas Indiretas</t>
  </si>
  <si>
    <t>Referência estudo TCE</t>
  </si>
  <si>
    <t>1° Quartil</t>
  </si>
  <si>
    <t>Médio</t>
  </si>
  <si>
    <t>3° Quartil</t>
  </si>
  <si>
    <t>Administração Central</t>
  </si>
  <si>
    <t>AC</t>
  </si>
  <si>
    <t>Seguros/Riscos/Garantias</t>
  </si>
  <si>
    <t>SRG</t>
  </si>
  <si>
    <t>Lucro</t>
  </si>
  <si>
    <t>Despesas Financeiras</t>
  </si>
  <si>
    <t>DF</t>
  </si>
  <si>
    <t>i</t>
  </si>
  <si>
    <t>Tributos - ISS</t>
  </si>
  <si>
    <t>T</t>
  </si>
  <si>
    <t>DU</t>
  </si>
  <si>
    <t>Tributos - PIS/COFINS</t>
  </si>
  <si>
    <t>Fórmula para o cálculo do BDI:</t>
  </si>
  <si>
    <t>{[(1+AC+SRG) x (1+L) x (1+DF)] / (1-T)} -1</t>
  </si>
  <si>
    <t>Resultado do cálculo do BDI:</t>
  </si>
  <si>
    <t>PLANILHA KM RODADO COLETA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</si>
  <si>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</si>
  <si>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</si>
  <si>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</si>
  <si>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</si>
  <si>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</si>
  <si>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</si>
  <si>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</si>
  <si>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</si>
  <si>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</si>
  <si>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</si>
  <si>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</si>
  <si>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 xml:space="preserve">   __________________________________________</t>
  </si>
  <si>
    <t>ADMINISTRAÇÃO LOCAL</t>
  </si>
  <si>
    <t>Total por Encarregado</t>
  </si>
  <si>
    <t>MONITORAMENTO FROTA</t>
  </si>
  <si>
    <t>4.0</t>
  </si>
  <si>
    <t>5.0</t>
  </si>
  <si>
    <t>6.0</t>
  </si>
  <si>
    <t>FERRAMENTAS E MATERIAIS DE CONSUMO</t>
  </si>
  <si>
    <t>Composição Encargos Sociais</t>
  </si>
  <si>
    <t xml:space="preserve">                          CREA RS 68989                                   Prefeito Municipal</t>
  </si>
  <si>
    <t>Remuneração de Capital</t>
  </si>
  <si>
    <t>________________________</t>
  </si>
  <si>
    <t xml:space="preserve">         ___________________________________         ____________________</t>
  </si>
  <si>
    <t>Bairros Santos, Pontes e Tabuleiro</t>
  </si>
  <si>
    <t>Bairros Bela Vista, Isolanda</t>
  </si>
  <si>
    <t xml:space="preserve">Tatsch </t>
  </si>
  <si>
    <t>Bairros São Francisco, Santo Antônio, Cooperativa</t>
  </si>
  <si>
    <t xml:space="preserve">Cristo Rei </t>
  </si>
  <si>
    <t>Ruas Tuiuti, Independência, Humaytá, Antão de Faria, Coronel Veríssimo, Plácido Chiquiti, Sete de Setembro, Emídio Jaime de Figueiredo, Coronel Chananeco</t>
  </si>
  <si>
    <t>Avenida XV de Novembro, Elautério Gonçalves, Osvaldo Aranha, Percival Brenner, Plácido Gonçalves, Visconde do Rio Branco, Clemenciano Barnasque, Lauro Bulcão e  Riachuelo</t>
  </si>
  <si>
    <t>SEG a SÁBADO</t>
  </si>
  <si>
    <t xml:space="preserve">                                                                        TOTAL GERAL (KM)</t>
  </si>
  <si>
    <t>MANHÃ/TARDE</t>
  </si>
  <si>
    <t>São Sepé, 30 de outubro 2018</t>
  </si>
  <si>
    <t>São Sepé, 30 de outubro de 2018</t>
  </si>
  <si>
    <t xml:space="preserve">                                               São Sepé, 30 de outubro de 2018</t>
  </si>
  <si>
    <t>SECRETARIA MUNICIPAL DE OBRAS E SANEAMENTO</t>
  </si>
  <si>
    <t>1. Coleta de Resíduos Sólidos Orgânico</t>
  </si>
  <si>
    <t>SECRETARIA MUNICIPAL DE OBRAS E SANEAMNETO</t>
  </si>
  <si>
    <t>COLETA E TRANSPORTE DE LIXO ORGÂNICO</t>
  </si>
  <si>
    <t>Demanda mensal coleta e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</si>
</sst>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_-;\-* #,##0.00_-;_-* &quot;-&quot;??_-;_-@_-"/>
    <numFmt numFmtId="165" formatCode="_(* #,##0.00_);_(* \(#,##0.00\);_(* \-??_);_(@_)"/>
    <numFmt numFmtId="166" formatCode="_(&quot;R$&quot;* #,##0.00_);_(&quot;R$&quot;* \(#,##0.00\);_(&quot;R$&quot;* \-??_);_(@_)"/>
    <numFmt numFmtId="169" formatCode="_(* #,##0.00_);_(* \(#,##0.00\);_(* &quot;-&quot;??_);_(@_)"/>
    <numFmt numFmtId="170" formatCode="0.0%"/>
    <numFmt numFmtId="173" formatCode="_-* #,##0.0000_-;\-* #,##0.0000_-;_-* &quot;-&quot;??_-;_-@_-"/>
    <numFmt numFmtId="174" formatCode="_-* #,##0.000_-;\-* #,##0.000_-;_-* &quot;-&quot;??_-;_-@_-"/>
    <numFmt numFmtId="175" formatCode="&quot;R$ &quot;#,##0.00"/>
    <numFmt numFmtId="176" formatCode="&quot;R$ &quot;#,##0.00_);\(&quot;R$ &quot;#,##0.00\)"/>
    <numFmt numFmtId="177" formatCode="_(* #,##0_);_(* \(#,##0\);_(* &quot;-&quot;??_);_(@_)"/>
    <numFmt numFmtId="178" formatCode="_(* #,##0.000_);_(* \(#,##0.000\);_(* &quot;-&quot;??_);_(@_)"/>
    <numFmt numFmtId="179" formatCode="_-* #,##0.00_-;\-* #,##0.00_-;_-* &quot;-&quot;?_-;_-@_-"/>
    <numFmt numFmtId="180" formatCode="_-* #,##0.0_-;\-* #,##0.0_-;_-* &quot;-&quot;?_-;_-@_-"/>
    <numFmt numFmtId="182" formatCode="0.0"/>
    <numFmt numFmtId="183" formatCode="_(* #,##0.0_);_(* \(#,##0.0\);_(* &quot;-&quot;??_);_(@_)"/>
  </numFmts>
  <fonts count="5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 Narrow"/>
      <family val="2"/>
    </font>
    <font>
      <b/>
      <sz val="12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u/>
      <sz val="12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3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8" fillId="0" borderId="0"/>
    <xf numFmtId="166" fontId="8" fillId="0" borderId="0" applyFill="0" applyBorder="0" applyAlignment="0" applyProtection="0"/>
    <xf numFmtId="0" fontId="8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27" applyNumberFormat="0" applyAlignment="0" applyProtection="0"/>
    <xf numFmtId="0" fontId="19" fillId="9" borderId="28" applyNumberFormat="0" applyAlignment="0" applyProtection="0"/>
    <xf numFmtId="0" fontId="20" fillId="9" borderId="27" applyNumberFormat="0" applyAlignment="0" applyProtection="0"/>
    <xf numFmtId="0" fontId="21" fillId="0" borderId="29" applyNumberFormat="0" applyFill="0" applyAlignment="0" applyProtection="0"/>
    <xf numFmtId="0" fontId="1" fillId="10" borderId="30" applyNumberFormat="0" applyAlignment="0" applyProtection="0"/>
    <xf numFmtId="0" fontId="5" fillId="0" borderId="0" applyNumberFormat="0" applyFill="0" applyBorder="0" applyAlignment="0" applyProtection="0"/>
    <xf numFmtId="0" fontId="6" fillId="11" borderId="31" applyNumberFormat="0" applyFont="0" applyAlignment="0" applyProtection="0"/>
    <xf numFmtId="0" fontId="22" fillId="0" borderId="0" applyNumberFormat="0" applyFill="0" applyBorder="0" applyAlignment="0" applyProtection="0"/>
    <xf numFmtId="0" fontId="7" fillId="0" borderId="32" applyNumberFormat="0" applyFill="0" applyAlignment="0" applyProtection="0"/>
    <xf numFmtId="0" fontId="2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2" fillId="35" borderId="0" applyNumberFormat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</cellStyleXfs>
  <cellXfs count="667">
    <xf numFmtId="0" fontId="0" fillId="0" borderId="0" xfId="0"/>
    <xf numFmtId="0" fontId="10" fillId="3" borderId="22" xfId="0" applyFont="1" applyFill="1" applyBorder="1" applyAlignment="1" applyProtection="1">
      <alignment vertical="center" wrapText="1"/>
    </xf>
    <xf numFmtId="0" fontId="9" fillId="4" borderId="19" xfId="0" applyFont="1" applyFill="1" applyBorder="1" applyAlignment="1" applyProtection="1">
      <alignment horizontal="center" vertical="center"/>
    </xf>
    <xf numFmtId="0" fontId="10" fillId="3" borderId="23" xfId="0" applyFont="1" applyFill="1" applyBorder="1" applyAlignment="1" applyProtection="1">
      <alignment vertical="center" wrapText="1"/>
    </xf>
    <xf numFmtId="0" fontId="10" fillId="3" borderId="21" xfId="0" applyFont="1" applyFill="1" applyBorder="1" applyAlignment="1" applyProtection="1">
      <alignment vertical="center" wrapText="1"/>
    </xf>
    <xf numFmtId="0" fontId="9" fillId="4" borderId="20" xfId="0" applyFont="1" applyFill="1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0" xfId="0"/>
    <xf numFmtId="0" fontId="23" fillId="0" borderId="14" xfId="0" applyFont="1" applyBorder="1"/>
    <xf numFmtId="0" fontId="23" fillId="0" borderId="0" xfId="0" applyFont="1" applyBorder="1"/>
    <xf numFmtId="0" fontId="23" fillId="0" borderId="15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2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3" fontId="8" fillId="0" borderId="0" xfId="48" applyFont="1" applyBorder="1" applyAlignment="1">
      <alignment vertical="center"/>
    </xf>
    <xf numFmtId="43" fontId="8" fillId="0" borderId="15" xfId="48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29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8" fillId="0" borderId="15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0" xfId="48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3" fontId="0" fillId="0" borderId="15" xfId="48" applyFont="1" applyBorder="1" applyAlignment="1">
      <alignment vertical="center"/>
    </xf>
    <xf numFmtId="43" fontId="30" fillId="0" borderId="0" xfId="48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0" fillId="0" borderId="14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43" fontId="0" fillId="0" borderId="0" xfId="48" applyFont="1" applyFill="1" applyBorder="1" applyAlignment="1">
      <alignment vertical="center"/>
    </xf>
    <xf numFmtId="43" fontId="0" fillId="0" borderId="15" xfId="48" applyFont="1" applyFill="1" applyBorder="1" applyAlignment="1">
      <alignment vertical="center"/>
    </xf>
    <xf numFmtId="43" fontId="31" fillId="0" borderId="70" xfId="48" applyFont="1" applyBorder="1" applyAlignment="1">
      <alignment horizontal="center" vertical="center"/>
    </xf>
    <xf numFmtId="43" fontId="0" fillId="0" borderId="71" xfId="48" applyFont="1" applyBorder="1" applyAlignment="1">
      <alignment vertical="center"/>
    </xf>
    <xf numFmtId="43" fontId="31" fillId="0" borderId="71" xfId="48" applyFont="1" applyBorder="1" applyAlignment="1">
      <alignment vertical="center"/>
    </xf>
    <xf numFmtId="43" fontId="31" fillId="0" borderId="72" xfId="48" applyFont="1" applyBorder="1" applyAlignment="1">
      <alignment vertical="center"/>
    </xf>
    <xf numFmtId="43" fontId="31" fillId="0" borderId="58" xfId="48" applyFont="1" applyBorder="1" applyAlignment="1">
      <alignment horizontal="center" vertical="center"/>
    </xf>
    <xf numFmtId="43" fontId="31" fillId="0" borderId="54" xfId="48" applyFont="1" applyBorder="1" applyAlignment="1">
      <alignment vertical="center"/>
    </xf>
    <xf numFmtId="169" fontId="31" fillId="0" borderId="5" xfId="0" applyNumberFormat="1" applyFont="1" applyBorder="1" applyAlignment="1">
      <alignment vertical="center"/>
    </xf>
    <xf numFmtId="43" fontId="31" fillId="0" borderId="5" xfId="48" applyFont="1" applyBorder="1" applyAlignment="1">
      <alignment vertical="center"/>
    </xf>
    <xf numFmtId="175" fontId="31" fillId="0" borderId="1" xfId="0" applyNumberFormat="1" applyFont="1" applyBorder="1" applyAlignment="1">
      <alignment vertical="center"/>
    </xf>
    <xf numFmtId="10" fontId="31" fillId="0" borderId="47" xfId="47" applyNumberFormat="1" applyFont="1" applyBorder="1" applyAlignment="1">
      <alignment vertical="center"/>
    </xf>
    <xf numFmtId="43" fontId="31" fillId="0" borderId="0" xfId="48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43" fontId="0" fillId="0" borderId="54" xfId="48" applyFont="1" applyBorder="1" applyAlignment="1">
      <alignment vertical="center"/>
    </xf>
    <xf numFmtId="169" fontId="0" fillId="0" borderId="5" xfId="0" applyNumberFormat="1" applyBorder="1" applyAlignment="1">
      <alignment vertical="center"/>
    </xf>
    <xf numFmtId="43" fontId="0" fillId="0" borderId="5" xfId="48" applyFont="1" applyBorder="1" applyAlignment="1">
      <alignment vertical="center"/>
    </xf>
    <xf numFmtId="175" fontId="0" fillId="0" borderId="1" xfId="0" applyNumberFormat="1" applyBorder="1" applyAlignment="1">
      <alignment vertical="center"/>
    </xf>
    <xf numFmtId="10" fontId="0" fillId="0" borderId="47" xfId="47" applyNumberFormat="1" applyFont="1" applyBorder="1" applyAlignment="1">
      <alignment vertical="center"/>
    </xf>
    <xf numFmtId="43" fontId="31" fillId="0" borderId="54" xfId="48" applyFont="1" applyBorder="1" applyAlignment="1">
      <alignment horizontal="left" vertical="center"/>
    </xf>
    <xf numFmtId="4" fontId="31" fillId="0" borderId="5" xfId="0" applyNumberFormat="1" applyFont="1" applyBorder="1" applyAlignment="1">
      <alignment horizontal="centerContinuous" vertical="center"/>
    </xf>
    <xf numFmtId="43" fontId="8" fillId="0" borderId="54" xfId="48" applyFont="1" applyBorder="1" applyAlignment="1">
      <alignment horizontal="left" vertical="center"/>
    </xf>
    <xf numFmtId="4" fontId="0" fillId="0" borderId="5" xfId="0" applyNumberFormat="1" applyBorder="1" applyAlignment="1">
      <alignment horizontal="centerContinuous" vertical="center"/>
    </xf>
    <xf numFmtId="10" fontId="8" fillId="0" borderId="47" xfId="47" applyNumberFormat="1" applyFont="1" applyBorder="1" applyAlignment="1">
      <alignment vertical="center"/>
    </xf>
    <xf numFmtId="175" fontId="31" fillId="0" borderId="36" xfId="0" applyNumberFormat="1" applyFont="1" applyBorder="1" applyAlignment="1">
      <alignment vertical="center"/>
    </xf>
    <xf numFmtId="43" fontId="31" fillId="0" borderId="9" xfId="48" applyFont="1" applyBorder="1" applyAlignment="1">
      <alignment horizontal="left" vertical="center"/>
    </xf>
    <xf numFmtId="4" fontId="31" fillId="0" borderId="10" xfId="0" applyNumberFormat="1" applyFont="1" applyBorder="1" applyAlignment="1">
      <alignment horizontal="centerContinuous" vertical="center"/>
    </xf>
    <xf numFmtId="43" fontId="31" fillId="0" borderId="10" xfId="48" applyFont="1" applyBorder="1" applyAlignment="1">
      <alignment vertical="center"/>
    </xf>
    <xf numFmtId="176" fontId="31" fillId="0" borderId="59" xfId="0" applyNumberFormat="1" applyFont="1" applyBorder="1" applyAlignment="1">
      <alignment vertical="center"/>
    </xf>
    <xf numFmtId="9" fontId="31" fillId="0" borderId="41" xfId="47" applyFont="1" applyBorder="1" applyAlignment="1">
      <alignment vertical="center"/>
    </xf>
    <xf numFmtId="43" fontId="31" fillId="0" borderId="43" xfId="48" applyFont="1" applyBorder="1" applyAlignment="1">
      <alignment horizontal="right" vertical="center"/>
    </xf>
    <xf numFmtId="43" fontId="8" fillId="0" borderId="70" xfId="48" applyFont="1" applyBorder="1" applyAlignment="1">
      <alignment vertical="center"/>
    </xf>
    <xf numFmtId="43" fontId="8" fillId="0" borderId="71" xfId="48" applyFont="1" applyBorder="1" applyAlignment="1">
      <alignment vertical="center"/>
    </xf>
    <xf numFmtId="0" fontId="0" fillId="0" borderId="71" xfId="0" applyBorder="1" applyAlignment="1">
      <alignment vertical="center"/>
    </xf>
    <xf numFmtId="1" fontId="8" fillId="0" borderId="58" xfId="48" applyNumberFormat="1" applyFont="1" applyBorder="1" applyAlignment="1">
      <alignment horizontal="center" vertical="center"/>
    </xf>
    <xf numFmtId="43" fontId="8" fillId="0" borderId="54" xfId="48" applyFont="1" applyBorder="1" applyAlignment="1">
      <alignment vertical="center"/>
    </xf>
    <xf numFmtId="43" fontId="8" fillId="0" borderId="5" xfId="48" applyFont="1" applyBorder="1" applyAlignment="1">
      <alignment vertical="center"/>
    </xf>
    <xf numFmtId="0" fontId="0" fillId="0" borderId="5" xfId="0" applyBorder="1" applyAlignment="1">
      <alignment vertical="center"/>
    </xf>
    <xf numFmtId="1" fontId="8" fillId="0" borderId="53" xfId="48" applyNumberFormat="1" applyFont="1" applyBorder="1" applyAlignment="1">
      <alignment horizontal="center" vertical="center"/>
    </xf>
    <xf numFmtId="43" fontId="31" fillId="0" borderId="50" xfId="48" applyFont="1" applyBorder="1" applyAlignment="1">
      <alignment vertical="center"/>
    </xf>
    <xf numFmtId="4" fontId="31" fillId="0" borderId="38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" fontId="31" fillId="0" borderId="49" xfId="48" applyNumberFormat="1" applyFont="1" applyBorder="1" applyAlignment="1">
      <alignment horizontal="center" vertical="center"/>
    </xf>
    <xf numFmtId="43" fontId="31" fillId="0" borderId="14" xfId="48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1" fontId="31" fillId="0" borderId="53" xfId="48" applyNumberFormat="1" applyFont="1" applyBorder="1" applyAlignment="1">
      <alignment horizontal="center" vertical="center"/>
    </xf>
    <xf numFmtId="43" fontId="8" fillId="0" borderId="14" xfId="48" applyFont="1" applyBorder="1" applyAlignment="1">
      <alignment vertical="center"/>
    </xf>
    <xf numFmtId="177" fontId="8" fillId="0" borderId="0" xfId="48" applyNumberFormat="1" applyFont="1" applyBorder="1" applyAlignment="1">
      <alignment horizontal="center" vertical="center"/>
    </xf>
    <xf numFmtId="43" fontId="31" fillId="0" borderId="9" xfId="48" applyFont="1" applyBorder="1" applyAlignment="1">
      <alignment vertical="center"/>
    </xf>
    <xf numFmtId="9" fontId="31" fillId="0" borderId="11" xfId="47" applyFont="1" applyFill="1" applyBorder="1" applyAlignment="1">
      <alignment vertical="center"/>
    </xf>
    <xf numFmtId="177" fontId="31" fillId="0" borderId="0" xfId="48" applyNumberFormat="1" applyFont="1" applyBorder="1" applyAlignment="1">
      <alignment horizontal="center" vertical="center"/>
    </xf>
    <xf numFmtId="0" fontId="31" fillId="0" borderId="15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2" fillId="39" borderId="40" xfId="0" applyFont="1" applyFill="1" applyBorder="1" applyAlignment="1">
      <alignment horizontal="center" vertical="center"/>
    </xf>
    <xf numFmtId="0" fontId="32" fillId="39" borderId="34" xfId="0" applyFont="1" applyFill="1" applyBorder="1" applyAlignment="1">
      <alignment horizontal="center" vertical="center"/>
    </xf>
    <xf numFmtId="43" fontId="32" fillId="39" borderId="34" xfId="48" applyFont="1" applyFill="1" applyBorder="1" applyAlignment="1">
      <alignment horizontal="center" vertical="center"/>
    </xf>
    <xf numFmtId="43" fontId="32" fillId="39" borderId="41" xfId="48" applyFont="1" applyFill="1" applyBorder="1" applyAlignment="1">
      <alignment horizontal="center" vertical="center"/>
    </xf>
    <xf numFmtId="0" fontId="8" fillId="0" borderId="51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43" fontId="8" fillId="0" borderId="3" xfId="48" applyFont="1" applyFill="1" applyBorder="1" applyAlignment="1">
      <alignment horizontal="center" vertical="center"/>
    </xf>
    <xf numFmtId="43" fontId="8" fillId="0" borderId="3" xfId="48" applyFont="1" applyBorder="1" applyAlignment="1">
      <alignment horizontal="center" vertical="center"/>
    </xf>
    <xf numFmtId="43" fontId="8" fillId="0" borderId="0" xfId="48" applyFont="1" applyBorder="1" applyAlignment="1">
      <alignment horizontal="left" vertical="center"/>
    </xf>
    <xf numFmtId="0" fontId="8" fillId="0" borderId="45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43" fontId="8" fillId="0" borderId="1" xfId="48" applyFont="1" applyFill="1" applyBorder="1" applyAlignment="1">
      <alignment horizontal="center" vertical="center"/>
    </xf>
    <xf numFmtId="43" fontId="8" fillId="0" borderId="1" xfId="48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31" fillId="0" borderId="56" xfId="0" applyFont="1" applyBorder="1" applyAlignment="1">
      <alignment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43" fontId="31" fillId="0" borderId="0" xfId="48" applyFont="1" applyFill="1" applyBorder="1" applyAlignment="1">
      <alignment horizontal="center" vertical="center"/>
    </xf>
    <xf numFmtId="43" fontId="31" fillId="0" borderId="2" xfId="48" applyFont="1" applyBorder="1" applyAlignment="1">
      <alignment horizontal="center" vertical="center"/>
    </xf>
    <xf numFmtId="1" fontId="31" fillId="0" borderId="1" xfId="0" applyNumberFormat="1" applyFont="1" applyFill="1" applyBorder="1" applyAlignment="1">
      <alignment horizontal="center" vertical="center"/>
    </xf>
    <xf numFmtId="43" fontId="8" fillId="0" borderId="0" xfId="48" applyFont="1" applyBorder="1" applyAlignment="1">
      <alignment horizontal="right" vertical="center"/>
    </xf>
    <xf numFmtId="43" fontId="8" fillId="37" borderId="1" xfId="48" applyFont="1" applyFill="1" applyBorder="1" applyAlignment="1">
      <alignment vertical="center"/>
    </xf>
    <xf numFmtId="43" fontId="31" fillId="39" borderId="11" xfId="48" applyFont="1" applyFill="1" applyBorder="1" applyAlignment="1">
      <alignment horizontal="center" vertical="center"/>
    </xf>
    <xf numFmtId="2" fontId="8" fillId="37" borderId="1" xfId="0" applyNumberFormat="1" applyFont="1" applyFill="1" applyBorder="1" applyAlignment="1">
      <alignment horizontal="center" vertical="center"/>
    </xf>
    <xf numFmtId="2" fontId="8" fillId="0" borderId="1" xfId="48" applyNumberFormat="1" applyFont="1" applyBorder="1" applyAlignment="1">
      <alignment horizontal="center" vertical="center"/>
    </xf>
    <xf numFmtId="43" fontId="31" fillId="0" borderId="0" xfId="48" applyFont="1" applyBorder="1" applyAlignment="1">
      <alignment horizontal="center" vertical="center"/>
    </xf>
    <xf numFmtId="43" fontId="8" fillId="40" borderId="1" xfId="48" applyFont="1" applyFill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0" xfId="0" applyFont="1" applyAlignment="1">
      <alignment vertical="center"/>
    </xf>
    <xf numFmtId="1" fontId="8" fillId="0" borderId="1" xfId="0" applyNumberFormat="1" applyFont="1" applyFill="1" applyBorder="1" applyAlignment="1">
      <alignment horizontal="center" vertical="center"/>
    </xf>
    <xf numFmtId="0" fontId="31" fillId="0" borderId="45" xfId="0" applyFont="1" applyBorder="1" applyAlignment="1">
      <alignment vertical="center"/>
    </xf>
    <xf numFmtId="43" fontId="31" fillId="0" borderId="1" xfId="48" applyFont="1" applyBorder="1" applyAlignment="1">
      <alignment horizontal="center" vertical="center"/>
    </xf>
    <xf numFmtId="43" fontId="31" fillId="0" borderId="15" xfId="48" applyFont="1" applyBorder="1" applyAlignment="1">
      <alignment vertical="center"/>
    </xf>
    <xf numFmtId="0" fontId="31" fillId="0" borderId="5" xfId="0" applyFont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43" fontId="31" fillId="0" borderId="5" xfId="48" applyFont="1" applyFill="1" applyBorder="1" applyAlignment="1">
      <alignment horizontal="center" vertical="center"/>
    </xf>
    <xf numFmtId="43" fontId="8" fillId="36" borderId="0" xfId="48" applyFont="1" applyFill="1" applyBorder="1" applyAlignment="1">
      <alignment vertical="center"/>
    </xf>
    <xf numFmtId="43" fontId="31" fillId="36" borderId="15" xfId="48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" fontId="8" fillId="37" borderId="1" xfId="0" applyNumberFormat="1" applyFont="1" applyFill="1" applyBorder="1" applyAlignment="1">
      <alignment horizontal="center" vertical="center"/>
    </xf>
    <xf numFmtId="0" fontId="8" fillId="37" borderId="1" xfId="0" applyFont="1" applyFill="1" applyBorder="1" applyAlignment="1">
      <alignment horizontal="center" vertical="center"/>
    </xf>
    <xf numFmtId="43" fontId="8" fillId="0" borderId="1" xfId="48" applyFont="1" applyBorder="1" applyAlignment="1">
      <alignment vertical="center"/>
    </xf>
    <xf numFmtId="43" fontId="31" fillId="0" borderId="15" xfId="48" applyFont="1" applyFill="1" applyBorder="1" applyAlignment="1">
      <alignment horizontal="center" vertical="center"/>
    </xf>
    <xf numFmtId="43" fontId="8" fillId="37" borderId="3" xfId="48" applyFont="1" applyFill="1" applyBorder="1" applyAlignment="1">
      <alignment horizontal="center" vertical="center"/>
    </xf>
    <xf numFmtId="43" fontId="8" fillId="0" borderId="0" xfId="48" applyFont="1" applyAlignment="1">
      <alignment vertical="center"/>
    </xf>
    <xf numFmtId="43" fontId="31" fillId="0" borderId="5" xfId="48" applyFont="1" applyBorder="1" applyAlignment="1">
      <alignment horizontal="center" vertical="center"/>
    </xf>
    <xf numFmtId="43" fontId="31" fillId="0" borderId="15" xfId="48" applyFont="1" applyFill="1" applyBorder="1" applyAlignment="1">
      <alignment vertical="center"/>
    </xf>
    <xf numFmtId="177" fontId="8" fillId="0" borderId="1" xfId="48" applyNumberFormat="1" applyFont="1" applyFill="1" applyBorder="1" applyAlignment="1">
      <alignment vertical="center"/>
    </xf>
    <xf numFmtId="169" fontId="8" fillId="37" borderId="1" xfId="48" applyNumberFormat="1" applyFont="1" applyFill="1" applyBorder="1" applyAlignment="1">
      <alignment horizontal="center" vertical="center"/>
    </xf>
    <xf numFmtId="43" fontId="31" fillId="39" borderId="13" xfId="48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77" fontId="8" fillId="0" borderId="1" xfId="48" applyNumberFormat="1" applyFont="1" applyFill="1" applyBorder="1" applyAlignment="1">
      <alignment horizontal="center" vertical="center"/>
    </xf>
    <xf numFmtId="43" fontId="8" fillId="0" borderId="0" xfId="48" applyFont="1" applyFill="1" applyBorder="1" applyAlignment="1">
      <alignment vertical="center"/>
    </xf>
    <xf numFmtId="177" fontId="31" fillId="0" borderId="1" xfId="48" applyNumberFormat="1" applyFont="1" applyFill="1" applyBorder="1" applyAlignment="1">
      <alignment vertical="center"/>
    </xf>
    <xf numFmtId="169" fontId="8" fillId="0" borderId="0" xfId="0" applyNumberFormat="1" applyFont="1" applyBorder="1" applyAlignment="1">
      <alignment vertical="center"/>
    </xf>
    <xf numFmtId="43" fontId="8" fillId="0" borderId="0" xfId="0" applyNumberFormat="1" applyFont="1" applyAlignment="1">
      <alignment vertical="center"/>
    </xf>
    <xf numFmtId="177" fontId="8" fillId="0" borderId="0" xfId="0" applyNumberFormat="1" applyFont="1" applyAlignment="1">
      <alignment vertical="center"/>
    </xf>
    <xf numFmtId="2" fontId="8" fillId="0" borderId="0" xfId="0" applyNumberFormat="1" applyFont="1" applyAlignment="1">
      <alignment vertical="center"/>
    </xf>
    <xf numFmtId="177" fontId="8" fillId="0" borderId="1" xfId="48" applyNumberFormat="1" applyFont="1" applyBorder="1" applyAlignment="1">
      <alignment vertical="center"/>
    </xf>
    <xf numFmtId="43" fontId="8" fillId="0" borderId="0" xfId="0" applyNumberFormat="1" applyFont="1" applyBorder="1" applyAlignment="1">
      <alignment vertical="center"/>
    </xf>
    <xf numFmtId="169" fontId="8" fillId="0" borderId="1" xfId="48" applyNumberFormat="1" applyFont="1" applyFill="1" applyBorder="1" applyAlignment="1">
      <alignment horizontal="center" vertical="center"/>
    </xf>
    <xf numFmtId="0" fontId="31" fillId="0" borderId="9" xfId="0" applyFont="1" applyBorder="1" applyAlignment="1">
      <alignment vertical="center"/>
    </xf>
    <xf numFmtId="0" fontId="31" fillId="0" borderId="10" xfId="0" applyFont="1" applyBorder="1" applyAlignment="1">
      <alignment vertical="center"/>
    </xf>
    <xf numFmtId="43" fontId="31" fillId="0" borderId="11" xfId="48" applyFont="1" applyBorder="1" applyAlignment="1">
      <alignment vertical="center"/>
    </xf>
    <xf numFmtId="0" fontId="32" fillId="39" borderId="34" xfId="0" applyFont="1" applyFill="1" applyBorder="1" applyAlignment="1">
      <alignment horizontal="center" vertical="center" wrapText="1"/>
    </xf>
    <xf numFmtId="13" fontId="8" fillId="0" borderId="1" xfId="0" applyNumberFormat="1" applyFont="1" applyFill="1" applyBorder="1" applyAlignment="1">
      <alignment vertical="center"/>
    </xf>
    <xf numFmtId="0" fontId="8" fillId="0" borderId="45" xfId="0" applyFont="1" applyBorder="1"/>
    <xf numFmtId="0" fontId="8" fillId="0" borderId="1" xfId="0" applyFont="1" applyBorder="1" applyAlignment="1">
      <alignment horizontal="center"/>
    </xf>
    <xf numFmtId="43" fontId="8" fillId="0" borderId="15" xfId="48" applyFont="1" applyBorder="1"/>
    <xf numFmtId="43" fontId="8" fillId="0" borderId="0" xfId="48" applyFont="1" applyBorder="1"/>
    <xf numFmtId="0" fontId="8" fillId="0" borderId="0" xfId="0" applyFont="1" applyBorder="1"/>
    <xf numFmtId="0" fontId="8" fillId="0" borderId="0" xfId="0" applyFont="1"/>
    <xf numFmtId="1" fontId="31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43" fontId="8" fillId="0" borderId="10" xfId="48" applyFont="1" applyBorder="1" applyAlignment="1">
      <alignment vertical="center"/>
    </xf>
    <xf numFmtId="43" fontId="8" fillId="0" borderId="11" xfId="48" applyFont="1" applyBorder="1" applyAlignment="1">
      <alignment vertical="center"/>
    </xf>
    <xf numFmtId="43" fontId="31" fillId="39" borderId="13" xfId="48" applyFont="1" applyFill="1" applyBorder="1" applyAlignment="1">
      <alignment horizontal="center" vertical="center"/>
    </xf>
    <xf numFmtId="0" fontId="35" fillId="0" borderId="0" xfId="49" applyBorder="1" applyAlignment="1" applyProtection="1">
      <alignment vertical="center"/>
    </xf>
    <xf numFmtId="0" fontId="8" fillId="37" borderId="14" xfId="0" applyFont="1" applyFill="1" applyBorder="1" applyAlignment="1">
      <alignment vertical="center"/>
    </xf>
    <xf numFmtId="0" fontId="35" fillId="0" borderId="14" xfId="49" applyBorder="1" applyAlignment="1" applyProtection="1">
      <alignment vertical="center"/>
    </xf>
    <xf numFmtId="43" fontId="8" fillId="0" borderId="15" xfId="48" applyFont="1" applyBorder="1" applyAlignment="1">
      <alignment horizontal="center" vertical="center"/>
    </xf>
    <xf numFmtId="43" fontId="8" fillId="0" borderId="1" xfId="48" applyFont="1" applyFill="1" applyBorder="1" applyAlignment="1">
      <alignment vertical="center"/>
    </xf>
    <xf numFmtId="0" fontId="31" fillId="0" borderId="75" xfId="0" applyFont="1" applyBorder="1" applyAlignment="1">
      <alignment vertical="center"/>
    </xf>
    <xf numFmtId="0" fontId="31" fillId="0" borderId="76" xfId="0" applyFont="1" applyBorder="1" applyAlignment="1">
      <alignment horizontal="center" vertical="center"/>
    </xf>
    <xf numFmtId="0" fontId="31" fillId="0" borderId="76" xfId="0" applyFont="1" applyFill="1" applyBorder="1" applyAlignment="1">
      <alignment horizontal="center" vertical="center"/>
    </xf>
    <xf numFmtId="43" fontId="31" fillId="0" borderId="76" xfId="48" applyFont="1" applyFill="1" applyBorder="1" applyAlignment="1">
      <alignment horizontal="center" vertical="center"/>
    </xf>
    <xf numFmtId="43" fontId="31" fillId="0" borderId="76" xfId="48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43" fontId="31" fillId="0" borderId="1" xfId="48" applyFont="1" applyFill="1" applyBorder="1" applyAlignment="1">
      <alignment horizontal="center" vertical="center"/>
    </xf>
    <xf numFmtId="43" fontId="8" fillId="0" borderId="2" xfId="48" applyFont="1" applyBorder="1" applyAlignment="1">
      <alignment horizontal="center" vertical="center"/>
    </xf>
    <xf numFmtId="0" fontId="34" fillId="0" borderId="14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169" fontId="8" fillId="0" borderId="1" xfId="0" applyNumberFormat="1" applyFont="1" applyFill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43" fontId="31" fillId="0" borderId="15" xfId="48" applyFont="1" applyBorder="1" applyAlignment="1">
      <alignment horizontal="center" vertical="center"/>
    </xf>
    <xf numFmtId="3" fontId="8" fillId="0" borderId="0" xfId="0" applyNumberFormat="1" applyFont="1" applyBorder="1" applyAlignment="1">
      <alignment vertical="center"/>
    </xf>
    <xf numFmtId="3" fontId="31" fillId="37" borderId="1" xfId="0" applyNumberFormat="1" applyFont="1" applyFill="1" applyBorder="1" applyAlignment="1">
      <alignment vertical="center"/>
    </xf>
    <xf numFmtId="4" fontId="8" fillId="0" borderId="3" xfId="0" applyNumberFormat="1" applyFont="1" applyFill="1" applyBorder="1" applyAlignment="1">
      <alignment horizontal="center" vertical="center"/>
    </xf>
    <xf numFmtId="178" fontId="8" fillId="0" borderId="3" xfId="48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78" fontId="8" fillId="0" borderId="1" xfId="48" applyNumberFormat="1" applyFont="1" applyFill="1" applyBorder="1" applyAlignment="1">
      <alignment horizontal="center" vertical="center"/>
    </xf>
    <xf numFmtId="177" fontId="31" fillId="0" borderId="1" xfId="48" applyNumberFormat="1" applyFont="1" applyBorder="1" applyAlignment="1">
      <alignment horizontal="center" vertical="center"/>
    </xf>
    <xf numFmtId="178" fontId="31" fillId="0" borderId="1" xfId="48" applyNumberFormat="1" applyFont="1" applyBorder="1" applyAlignment="1">
      <alignment horizontal="center" vertical="center"/>
    </xf>
    <xf numFmtId="177" fontId="31" fillId="0" borderId="1" xfId="48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43" fontId="8" fillId="40" borderId="1" xfId="48" applyFont="1" applyFill="1" applyBorder="1" applyAlignment="1">
      <alignment vertical="center"/>
    </xf>
    <xf numFmtId="0" fontId="32" fillId="39" borderId="64" xfId="0" applyFont="1" applyFill="1" applyBorder="1" applyAlignment="1">
      <alignment horizontal="center" vertical="center"/>
    </xf>
    <xf numFmtId="0" fontId="32" fillId="39" borderId="74" xfId="0" applyFont="1" applyFill="1" applyBorder="1" applyAlignment="1">
      <alignment horizontal="center" vertical="center"/>
    </xf>
    <xf numFmtId="43" fontId="32" fillId="39" borderId="74" xfId="48" applyFont="1" applyFill="1" applyBorder="1" applyAlignment="1">
      <alignment horizontal="center" vertical="center"/>
    </xf>
    <xf numFmtId="43" fontId="8" fillId="37" borderId="1" xfId="48" applyFont="1" applyFill="1" applyBorder="1" applyAlignment="1">
      <alignment horizontal="center" vertical="center"/>
    </xf>
    <xf numFmtId="3" fontId="8" fillId="37" borderId="1" xfId="0" applyNumberFormat="1" applyFont="1" applyFill="1" applyBorder="1" applyAlignment="1">
      <alignment vertical="center"/>
    </xf>
    <xf numFmtId="4" fontId="8" fillId="37" borderId="3" xfId="0" applyNumberFormat="1" applyFont="1" applyFill="1" applyBorder="1" applyAlignment="1">
      <alignment horizontal="center" vertical="center"/>
    </xf>
    <xf numFmtId="178" fontId="8" fillId="37" borderId="3" xfId="48" applyNumberFormat="1" applyFont="1" applyFill="1" applyBorder="1" applyAlignment="1">
      <alignment horizontal="center" vertical="center"/>
    </xf>
    <xf numFmtId="177" fontId="8" fillId="0" borderId="1" xfId="48" applyNumberFormat="1" applyFont="1" applyBorder="1" applyAlignment="1">
      <alignment horizontal="center" vertical="center"/>
    </xf>
    <xf numFmtId="178" fontId="8" fillId="0" borderId="3" xfId="48" applyNumberFormat="1" applyFont="1" applyBorder="1" applyAlignment="1">
      <alignment horizontal="center" vertical="center"/>
    </xf>
    <xf numFmtId="4" fontId="8" fillId="37" borderId="1" xfId="0" applyNumberFormat="1" applyFont="1" applyFill="1" applyBorder="1" applyAlignment="1">
      <alignment horizontal="center" vertical="center"/>
    </xf>
    <xf numFmtId="178" fontId="8" fillId="0" borderId="1" xfId="48" applyNumberFormat="1" applyFont="1" applyBorder="1" applyAlignment="1">
      <alignment horizontal="center" vertical="center"/>
    </xf>
    <xf numFmtId="0" fontId="8" fillId="37" borderId="3" xfId="0" applyFont="1" applyFill="1" applyBorder="1" applyAlignment="1">
      <alignment horizontal="center" vertical="center"/>
    </xf>
    <xf numFmtId="3" fontId="8" fillId="37" borderId="1" xfId="0" applyNumberFormat="1" applyFont="1" applyFill="1" applyBorder="1" applyAlignment="1">
      <alignment horizontal="center" vertical="center"/>
    </xf>
    <xf numFmtId="43" fontId="8" fillId="0" borderId="15" xfId="48" applyFont="1" applyFill="1" applyBorder="1" applyAlignment="1">
      <alignment horizontal="center" vertical="center"/>
    </xf>
    <xf numFmtId="43" fontId="31" fillId="36" borderId="33" xfId="48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43" fontId="38" fillId="0" borderId="1" xfId="48" applyFont="1" applyBorder="1" applyAlignment="1">
      <alignment horizontal="center" vertical="center"/>
    </xf>
    <xf numFmtId="0" fontId="34" fillId="0" borderId="14" xfId="0" applyFont="1" applyBorder="1" applyAlignment="1">
      <alignment vertical="center"/>
    </xf>
    <xf numFmtId="169" fontId="31" fillId="39" borderId="13" xfId="48" applyNumberFormat="1" applyFont="1" applyFill="1" applyBorder="1" applyAlignment="1">
      <alignment horizontal="center" vertical="center"/>
    </xf>
    <xf numFmtId="43" fontId="36" fillId="0" borderId="0" xfId="48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8" fillId="36" borderId="14" xfId="0" applyFont="1" applyFill="1" applyBorder="1" applyAlignment="1">
      <alignment vertical="center"/>
    </xf>
    <xf numFmtId="0" fontId="8" fillId="36" borderId="0" xfId="0" applyFont="1" applyFill="1" applyBorder="1" applyAlignment="1">
      <alignment vertical="center"/>
    </xf>
    <xf numFmtId="43" fontId="31" fillId="36" borderId="11" xfId="48" applyFont="1" applyFill="1" applyBorder="1" applyAlignment="1">
      <alignment vertical="center"/>
    </xf>
    <xf numFmtId="0" fontId="8" fillId="0" borderId="45" xfId="0" applyFont="1" applyBorder="1" applyAlignment="1">
      <alignment vertical="center" wrapText="1"/>
    </xf>
    <xf numFmtId="0" fontId="39" fillId="0" borderId="14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43" fontId="24" fillId="0" borderId="0" xfId="48" applyFont="1" applyBorder="1" applyAlignment="1">
      <alignment vertical="center"/>
    </xf>
    <xf numFmtId="43" fontId="24" fillId="0" borderId="15" xfId="48" applyFont="1" applyBorder="1" applyAlignment="1">
      <alignment vertical="center"/>
    </xf>
    <xf numFmtId="0" fontId="30" fillId="0" borderId="1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43" fontId="8" fillId="0" borderId="16" xfId="48" applyFont="1" applyBorder="1" applyAlignment="1">
      <alignment vertical="center"/>
    </xf>
    <xf numFmtId="43" fontId="31" fillId="0" borderId="11" xfId="48" applyFont="1" applyBorder="1" applyAlignment="1">
      <alignment horizontal="right" vertical="center"/>
    </xf>
    <xf numFmtId="43" fontId="31" fillId="39" borderId="13" xfId="48" applyFont="1" applyFill="1" applyBorder="1" applyAlignment="1">
      <alignment horizontal="right" vertical="center"/>
    </xf>
    <xf numFmtId="43" fontId="24" fillId="0" borderId="14" xfId="48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50" xfId="0" applyFont="1" applyBorder="1" applyAlignment="1">
      <alignment vertical="center"/>
    </xf>
    <xf numFmtId="0" fontId="8" fillId="0" borderId="38" xfId="0" applyFont="1" applyBorder="1" applyAlignment="1">
      <alignment vertical="center"/>
    </xf>
    <xf numFmtId="43" fontId="8" fillId="0" borderId="38" xfId="48" applyFont="1" applyBorder="1" applyAlignment="1">
      <alignment vertical="center"/>
    </xf>
    <xf numFmtId="43" fontId="8" fillId="0" borderId="33" xfId="48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/>
    <xf numFmtId="0" fontId="25" fillId="0" borderId="0" xfId="0" applyFont="1" applyBorder="1" applyAlignment="1">
      <alignment vertical="center"/>
    </xf>
    <xf numFmtId="43" fontId="0" fillId="0" borderId="0" xfId="48" applyFont="1" applyAlignment="1">
      <alignment vertical="center"/>
    </xf>
    <xf numFmtId="0" fontId="8" fillId="0" borderId="0" xfId="0" applyFont="1" applyFill="1"/>
    <xf numFmtId="0" fontId="31" fillId="0" borderId="0" xfId="0" applyFont="1"/>
    <xf numFmtId="0" fontId="30" fillId="0" borderId="45" xfId="0" applyFont="1" applyBorder="1"/>
    <xf numFmtId="0" fontId="30" fillId="0" borderId="53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15" xfId="0" applyBorder="1"/>
    <xf numFmtId="0" fontId="0" fillId="0" borderId="14" xfId="0" applyBorder="1"/>
    <xf numFmtId="0" fontId="23" fillId="0" borderId="0" xfId="0" applyFont="1" applyAlignment="1">
      <alignment vertical="center"/>
    </xf>
    <xf numFmtId="0" fontId="24" fillId="37" borderId="8" xfId="0" applyFont="1" applyFill="1" applyBorder="1" applyAlignment="1">
      <alignment horizontal="center" vertical="center"/>
    </xf>
    <xf numFmtId="0" fontId="0" fillId="37" borderId="0" xfId="0" applyFill="1" applyAlignment="1">
      <alignment vertical="center"/>
    </xf>
    <xf numFmtId="0" fontId="0" fillId="37" borderId="0" xfId="0" applyFill="1" applyAlignment="1">
      <alignment horizontal="center" vertical="center"/>
    </xf>
    <xf numFmtId="2" fontId="0" fillId="37" borderId="0" xfId="0" applyNumberFormat="1" applyFill="1" applyAlignment="1">
      <alignment vertical="center"/>
    </xf>
    <xf numFmtId="0" fontId="43" fillId="0" borderId="51" xfId="0" applyFont="1" applyBorder="1" applyAlignment="1">
      <alignment horizontal="center" vertical="center"/>
    </xf>
    <xf numFmtId="0" fontId="43" fillId="42" borderId="52" xfId="0" applyFont="1" applyFill="1" applyBorder="1" applyAlignment="1">
      <alignment horizontal="center" vertical="center"/>
    </xf>
    <xf numFmtId="0" fontId="44" fillId="0" borderId="45" xfId="0" applyFont="1" applyBorder="1" applyAlignment="1">
      <alignment horizontal="center" vertical="center"/>
    </xf>
    <xf numFmtId="2" fontId="44" fillId="42" borderId="53" xfId="0" applyNumberFormat="1" applyFont="1" applyFill="1" applyBorder="1" applyAlignment="1">
      <alignment horizontal="right" vertical="center"/>
    </xf>
    <xf numFmtId="0" fontId="44" fillId="0" borderId="48" xfId="0" applyFont="1" applyBorder="1" applyAlignment="1">
      <alignment horizontal="center" vertical="center"/>
    </xf>
    <xf numFmtId="2" fontId="44" fillId="42" borderId="55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8" fillId="0" borderId="63" xfId="0" applyFont="1" applyBorder="1"/>
    <xf numFmtId="0" fontId="25" fillId="0" borderId="79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5" fillId="0" borderId="79" xfId="0" applyFont="1" applyFill="1" applyBorder="1" applyAlignment="1">
      <alignment vertical="center"/>
    </xf>
    <xf numFmtId="0" fontId="8" fillId="0" borderId="79" xfId="0" applyFont="1" applyBorder="1"/>
    <xf numFmtId="0" fontId="25" fillId="41" borderId="13" xfId="0" applyFont="1" applyFill="1" applyBorder="1" applyAlignment="1">
      <alignment horizontal="center" vertical="center"/>
    </xf>
    <xf numFmtId="0" fontId="45" fillId="0" borderId="79" xfId="0" applyFont="1" applyBorder="1" applyAlignment="1">
      <alignment horizontal="justify"/>
    </xf>
    <xf numFmtId="0" fontId="45" fillId="0" borderId="80" xfId="0" applyFont="1" applyBorder="1" applyAlignment="1">
      <alignment horizontal="justify"/>
    </xf>
    <xf numFmtId="43" fontId="24" fillId="0" borderId="79" xfId="48" applyFont="1" applyBorder="1" applyAlignment="1">
      <alignment vertical="center"/>
    </xf>
    <xf numFmtId="0" fontId="0" fillId="0" borderId="79" xfId="0" applyBorder="1" applyAlignment="1">
      <alignment vertical="center"/>
    </xf>
    <xf numFmtId="0" fontId="8" fillId="0" borderId="79" xfId="0" applyFont="1" applyBorder="1" applyAlignment="1">
      <alignment vertical="center"/>
    </xf>
    <xf numFmtId="0" fontId="40" fillId="0" borderId="79" xfId="0" applyFont="1" applyFill="1" applyBorder="1" applyAlignment="1">
      <alignment horizontal="center" vertical="center"/>
    </xf>
    <xf numFmtId="0" fontId="8" fillId="0" borderId="79" xfId="0" applyFont="1" applyFill="1" applyBorder="1" applyAlignment="1">
      <alignment horizontal="left" vertical="center"/>
    </xf>
    <xf numFmtId="0" fontId="8" fillId="0" borderId="80" xfId="0" applyFont="1" applyBorder="1"/>
    <xf numFmtId="0" fontId="43" fillId="0" borderId="40" xfId="0" applyFont="1" applyBorder="1" applyAlignment="1">
      <alignment horizontal="center" vertical="center"/>
    </xf>
    <xf numFmtId="0" fontId="43" fillId="0" borderId="34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/>
    </xf>
    <xf numFmtId="0" fontId="44" fillId="0" borderId="0" xfId="0" applyFont="1" applyBorder="1" applyAlignment="1">
      <alignment horizontal="left" vertical="center"/>
    </xf>
    <xf numFmtId="0" fontId="44" fillId="0" borderId="51" xfId="0" applyFont="1" applyBorder="1" applyAlignment="1">
      <alignment horizontal="center" vertical="center"/>
    </xf>
    <xf numFmtId="0" fontId="44" fillId="0" borderId="3" xfId="0" applyFont="1" applyBorder="1" applyAlignment="1">
      <alignment horizontal="left" vertical="center"/>
    </xf>
    <xf numFmtId="10" fontId="44" fillId="0" borderId="52" xfId="0" applyNumberFormat="1" applyFont="1" applyBorder="1" applyAlignment="1">
      <alignment horizontal="right" vertical="center"/>
    </xf>
    <xf numFmtId="0" fontId="44" fillId="0" borderId="1" xfId="0" applyFont="1" applyBorder="1" applyAlignment="1">
      <alignment horizontal="left" vertical="center"/>
    </xf>
    <xf numFmtId="10" fontId="44" fillId="0" borderId="53" xfId="0" applyNumberFormat="1" applyFont="1" applyBorder="1" applyAlignment="1">
      <alignment horizontal="right" vertical="center"/>
    </xf>
    <xf numFmtId="0" fontId="43" fillId="0" borderId="1" xfId="0" applyFont="1" applyBorder="1" applyAlignment="1">
      <alignment horizontal="left" vertical="center"/>
    </xf>
    <xf numFmtId="10" fontId="43" fillId="0" borderId="53" xfId="0" applyNumberFormat="1" applyFont="1" applyBorder="1" applyAlignment="1">
      <alignment horizontal="right" vertical="center"/>
    </xf>
    <xf numFmtId="0" fontId="44" fillId="2" borderId="45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/>
    </xf>
    <xf numFmtId="10" fontId="43" fillId="2" borderId="53" xfId="0" applyNumberFormat="1" applyFont="1" applyFill="1" applyBorder="1" applyAlignment="1">
      <alignment horizontal="right" vertical="center"/>
    </xf>
    <xf numFmtId="0" fontId="42" fillId="0" borderId="1" xfId="0" applyFont="1" applyBorder="1" applyAlignment="1">
      <alignment horizontal="left" vertical="center"/>
    </xf>
    <xf numFmtId="9" fontId="44" fillId="0" borderId="0" xfId="47" applyFont="1" applyBorder="1" applyAlignment="1">
      <alignment horizontal="right" vertical="center"/>
    </xf>
    <xf numFmtId="10" fontId="8" fillId="0" borderId="0" xfId="0" applyNumberFormat="1" applyFont="1" applyBorder="1"/>
    <xf numFmtId="0" fontId="44" fillId="0" borderId="1" xfId="0" applyFont="1" applyBorder="1" applyAlignment="1">
      <alignment horizontal="left" vertical="center" wrapText="1"/>
    </xf>
    <xf numFmtId="0" fontId="44" fillId="43" borderId="48" xfId="0" applyFont="1" applyFill="1" applyBorder="1" applyAlignment="1">
      <alignment horizontal="left" vertical="center"/>
    </xf>
    <xf numFmtId="0" fontId="43" fillId="43" borderId="36" xfId="0" applyFont="1" applyFill="1" applyBorder="1" applyAlignment="1">
      <alignment horizontal="left" vertical="center"/>
    </xf>
    <xf numFmtId="10" fontId="43" fillId="43" borderId="55" xfId="0" applyNumberFormat="1" applyFont="1" applyFill="1" applyBorder="1" applyAlignment="1">
      <alignment horizontal="right" vertical="center"/>
    </xf>
    <xf numFmtId="0" fontId="35" fillId="0" borderId="0" xfId="49" applyFont="1" applyBorder="1" applyAlignment="1" applyProtection="1">
      <alignment horizontal="left" vertical="center"/>
    </xf>
    <xf numFmtId="0" fontId="49" fillId="0" borderId="0" xfId="0" applyFont="1" applyBorder="1"/>
    <xf numFmtId="0" fontId="44" fillId="0" borderId="0" xfId="0" applyFont="1" applyBorder="1" applyAlignment="1">
      <alignment horizontal="right" vertical="center"/>
    </xf>
    <xf numFmtId="10" fontId="44" fillId="0" borderId="0" xfId="0" applyNumberFormat="1" applyFont="1" applyBorder="1" applyAlignment="1">
      <alignment horizontal="right" vertical="center"/>
    </xf>
    <xf numFmtId="0" fontId="48" fillId="0" borderId="0" xfId="0" applyFont="1" applyBorder="1" applyAlignment="1">
      <alignment horizontal="justify" vertical="center"/>
    </xf>
    <xf numFmtId="0" fontId="35" fillId="0" borderId="0" xfId="49" applyFont="1" applyBorder="1" applyAlignment="1" applyProtection="1">
      <alignment vertical="center"/>
    </xf>
    <xf numFmtId="0" fontId="30" fillId="0" borderId="0" xfId="0" applyFont="1"/>
    <xf numFmtId="0" fontId="30" fillId="0" borderId="14" xfId="0" applyFont="1" applyBorder="1"/>
    <xf numFmtId="0" fontId="30" fillId="0" borderId="0" xfId="0" applyFont="1" applyBorder="1"/>
    <xf numFmtId="0" fontId="30" fillId="0" borderId="15" xfId="0" applyFont="1" applyBorder="1"/>
    <xf numFmtId="0" fontId="24" fillId="0" borderId="14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41" fillId="0" borderId="14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vertical="center"/>
    </xf>
    <xf numFmtId="9" fontId="30" fillId="0" borderId="45" xfId="47" applyFont="1" applyBorder="1"/>
    <xf numFmtId="9" fontId="30" fillId="0" borderId="1" xfId="47" applyFont="1" applyBorder="1" applyAlignment="1">
      <alignment horizontal="center"/>
    </xf>
    <xf numFmtId="9" fontId="30" fillId="0" borderId="53" xfId="47" applyFont="1" applyBorder="1"/>
    <xf numFmtId="0" fontId="30" fillId="0" borderId="42" xfId="0" applyFont="1" applyFill="1" applyBorder="1" applyAlignment="1">
      <alignment horizontal="left" vertical="center"/>
    </xf>
    <xf numFmtId="0" fontId="30" fillId="0" borderId="39" xfId="0" applyFont="1" applyFill="1" applyBorder="1" applyAlignment="1">
      <alignment horizontal="center" vertical="center"/>
    </xf>
    <xf numFmtId="10" fontId="30" fillId="37" borderId="58" xfId="0" applyNumberFormat="1" applyFont="1" applyFill="1" applyBorder="1" applyAlignment="1">
      <alignment horizontal="center" vertical="center"/>
    </xf>
    <xf numFmtId="10" fontId="30" fillId="0" borderId="45" xfId="47" applyNumberFormat="1" applyFont="1" applyBorder="1" applyAlignment="1">
      <alignment horizontal="right"/>
    </xf>
    <xf numFmtId="10" fontId="30" fillId="0" borderId="1" xfId="47" applyNumberFormat="1" applyFont="1" applyBorder="1" applyAlignment="1">
      <alignment horizontal="right"/>
    </xf>
    <xf numFmtId="10" fontId="30" fillId="0" borderId="53" xfId="47" applyNumberFormat="1" applyFont="1" applyBorder="1" applyAlignment="1">
      <alignment horizontal="right"/>
    </xf>
    <xf numFmtId="0" fontId="30" fillId="0" borderId="45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/>
    </xf>
    <xf numFmtId="10" fontId="30" fillId="37" borderId="53" xfId="0" applyNumberFormat="1" applyFont="1" applyFill="1" applyBorder="1" applyAlignment="1">
      <alignment horizontal="center" vertical="center"/>
    </xf>
    <xf numFmtId="10" fontId="30" fillId="0" borderId="53" xfId="0" applyNumberFormat="1" applyFont="1" applyFill="1" applyBorder="1" applyAlignment="1">
      <alignment horizontal="center" vertical="center"/>
    </xf>
    <xf numFmtId="10" fontId="30" fillId="37" borderId="1" xfId="47" applyNumberFormat="1" applyFont="1" applyFill="1" applyBorder="1" applyAlignment="1">
      <alignment horizontal="center"/>
    </xf>
    <xf numFmtId="10" fontId="30" fillId="0" borderId="53" xfId="47" applyNumberFormat="1" applyFont="1" applyBorder="1"/>
    <xf numFmtId="0" fontId="30" fillId="0" borderId="45" xfId="0" applyFont="1" applyBorder="1" applyAlignment="1">
      <alignment horizontal="right"/>
    </xf>
    <xf numFmtId="0" fontId="30" fillId="37" borderId="1" xfId="0" applyFont="1" applyFill="1" applyBorder="1" applyAlignment="1">
      <alignment horizontal="center"/>
    </xf>
    <xf numFmtId="0" fontId="30" fillId="0" borderId="48" xfId="0" applyFont="1" applyFill="1" applyBorder="1" applyAlignment="1">
      <alignment horizontal="left" vertical="center"/>
    </xf>
    <xf numFmtId="10" fontId="30" fillId="37" borderId="55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0" borderId="6" xfId="0" applyFont="1" applyFill="1" applyBorder="1" applyAlignment="1">
      <alignment vertical="center"/>
    </xf>
    <xf numFmtId="0" fontId="30" fillId="0" borderId="7" xfId="0" applyFont="1" applyFill="1" applyBorder="1" applyAlignment="1">
      <alignment vertical="center"/>
    </xf>
    <xf numFmtId="10" fontId="30" fillId="0" borderId="8" xfId="0" applyNumberFormat="1" applyFont="1" applyFill="1" applyBorder="1" applyAlignment="1">
      <alignment vertical="center"/>
    </xf>
    <xf numFmtId="0" fontId="30" fillId="0" borderId="50" xfId="0" applyFont="1" applyFill="1" applyBorder="1" applyAlignment="1">
      <alignment horizontal="left" vertical="center"/>
    </xf>
    <xf numFmtId="0" fontId="30" fillId="0" borderId="38" xfId="0" applyFont="1" applyFill="1" applyBorder="1" applyAlignment="1">
      <alignment horizontal="left" vertical="center"/>
    </xf>
    <xf numFmtId="0" fontId="30" fillId="0" borderId="33" xfId="0" applyFont="1" applyFill="1" applyBorder="1" applyAlignment="1">
      <alignment vertical="center"/>
    </xf>
    <xf numFmtId="0" fontId="41" fillId="2" borderId="9" xfId="0" applyFont="1" applyFill="1" applyBorder="1" applyAlignment="1">
      <alignment vertical="center" wrapText="1"/>
    </xf>
    <xf numFmtId="0" fontId="30" fillId="2" borderId="10" xfId="0" applyFont="1" applyFill="1" applyBorder="1" applyAlignment="1">
      <alignment vertical="center"/>
    </xf>
    <xf numFmtId="10" fontId="30" fillId="0" borderId="48" xfId="47" applyNumberFormat="1" applyFont="1" applyBorder="1" applyAlignment="1">
      <alignment horizontal="right"/>
    </xf>
    <xf numFmtId="10" fontId="30" fillId="0" borderId="36" xfId="47" applyNumberFormat="1" applyFont="1" applyBorder="1" applyAlignment="1">
      <alignment horizontal="right"/>
    </xf>
    <xf numFmtId="10" fontId="30" fillId="0" borderId="55" xfId="47" applyNumberFormat="1" applyFont="1" applyBorder="1" applyAlignment="1">
      <alignment horizontal="right"/>
    </xf>
    <xf numFmtId="0" fontId="23" fillId="0" borderId="1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7" fillId="0" borderId="1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5" fillId="0" borderId="50" xfId="0" applyFont="1" applyBorder="1" applyAlignment="1">
      <alignment horizontal="justify" vertical="center"/>
    </xf>
    <xf numFmtId="0" fontId="23" fillId="0" borderId="38" xfId="0" applyFont="1" applyBorder="1"/>
    <xf numFmtId="0" fontId="23" fillId="0" borderId="33" xfId="0" applyFont="1" applyBorder="1"/>
    <xf numFmtId="0" fontId="42" fillId="0" borderId="0" xfId="0" applyFont="1"/>
    <xf numFmtId="0" fontId="52" fillId="0" borderId="62" xfId="0" applyFont="1" applyBorder="1" applyAlignment="1">
      <alignment horizontal="center" vertical="center"/>
    </xf>
    <xf numFmtId="0" fontId="45" fillId="0" borderId="0" xfId="0" applyFont="1"/>
    <xf numFmtId="0" fontId="45" fillId="0" borderId="0" xfId="0" applyFont="1" applyBorder="1"/>
    <xf numFmtId="0" fontId="53" fillId="0" borderId="0" xfId="0" applyFont="1"/>
    <xf numFmtId="0" fontId="23" fillId="0" borderId="14" xfId="0" applyFont="1" applyFill="1" applyBorder="1" applyAlignment="1">
      <alignment horizontal="center" vertical="center"/>
    </xf>
    <xf numFmtId="0" fontId="23" fillId="0" borderId="15" xfId="0" applyFont="1" applyBorder="1" applyAlignment="1">
      <alignment vertical="center"/>
    </xf>
    <xf numFmtId="0" fontId="23" fillId="0" borderId="50" xfId="0" applyFont="1" applyBorder="1"/>
    <xf numFmtId="0" fontId="45" fillId="0" borderId="14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45" fillId="0" borderId="15" xfId="0" applyFont="1" applyBorder="1" applyAlignment="1">
      <alignment vertical="center"/>
    </xf>
    <xf numFmtId="0" fontId="45" fillId="0" borderId="15" xfId="0" applyFont="1" applyBorder="1"/>
    <xf numFmtId="0" fontId="26" fillId="0" borderId="0" xfId="0" applyFont="1" applyFill="1" applyBorder="1" applyAlignment="1">
      <alignment vertical="center"/>
    </xf>
    <xf numFmtId="0" fontId="45" fillId="0" borderId="14" xfId="0" applyFont="1" applyBorder="1"/>
    <xf numFmtId="0" fontId="45" fillId="0" borderId="50" xfId="0" applyFont="1" applyBorder="1"/>
    <xf numFmtId="0" fontId="45" fillId="0" borderId="38" xfId="0" applyFont="1" applyBorder="1"/>
    <xf numFmtId="0" fontId="45" fillId="0" borderId="33" xfId="0" applyFont="1" applyBorder="1"/>
    <xf numFmtId="0" fontId="42" fillId="0" borderId="6" xfId="0" applyFont="1" applyBorder="1"/>
    <xf numFmtId="0" fontId="42" fillId="0" borderId="7" xfId="0" applyFont="1" applyBorder="1"/>
    <xf numFmtId="0" fontId="42" fillId="0" borderId="8" xfId="0" applyFont="1" applyBorder="1"/>
    <xf numFmtId="0" fontId="24" fillId="0" borderId="42" xfId="0" applyFont="1" applyFill="1" applyBorder="1" applyAlignment="1">
      <alignment horizontal="center"/>
    </xf>
    <xf numFmtId="0" fontId="24" fillId="0" borderId="39" xfId="0" applyFont="1" applyFill="1" applyBorder="1" applyAlignment="1">
      <alignment horizontal="center"/>
    </xf>
    <xf numFmtId="0" fontId="24" fillId="0" borderId="58" xfId="0" applyFont="1" applyFill="1" applyBorder="1" applyAlignment="1">
      <alignment horizontal="center"/>
    </xf>
    <xf numFmtId="0" fontId="24" fillId="0" borderId="45" xfId="0" applyFont="1" applyBorder="1"/>
    <xf numFmtId="0" fontId="24" fillId="0" borderId="1" xfId="0" applyFont="1" applyBorder="1"/>
    <xf numFmtId="0" fontId="24" fillId="0" borderId="53" xfId="0" applyFont="1" applyBorder="1"/>
    <xf numFmtId="0" fontId="23" fillId="0" borderId="45" xfId="0" applyFont="1" applyFill="1" applyBorder="1"/>
    <xf numFmtId="0" fontId="23" fillId="0" borderId="1" xfId="0" applyFont="1" applyFill="1" applyBorder="1"/>
    <xf numFmtId="0" fontId="23" fillId="0" borderId="45" xfId="0" applyFont="1" applyBorder="1"/>
    <xf numFmtId="0" fontId="23" fillId="0" borderId="1" xfId="0" applyFont="1" applyBorder="1"/>
    <xf numFmtId="174" fontId="45" fillId="0" borderId="53" xfId="48" applyNumberFormat="1" applyFont="1" applyBorder="1" applyAlignment="1">
      <alignment horizontal="center" vertical="center" wrapText="1"/>
    </xf>
    <xf numFmtId="0" fontId="23" fillId="0" borderId="48" xfId="0" applyFont="1" applyFill="1" applyBorder="1"/>
    <xf numFmtId="0" fontId="23" fillId="0" borderId="36" xfId="0" applyFont="1" applyBorder="1"/>
    <xf numFmtId="0" fontId="42" fillId="0" borderId="7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6" fillId="0" borderId="81" xfId="0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45" fillId="0" borderId="38" xfId="0" applyFont="1" applyBorder="1" applyAlignment="1">
      <alignment horizontal="center"/>
    </xf>
    <xf numFmtId="10" fontId="41" fillId="2" borderId="13" xfId="0" applyNumberFormat="1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left" vertical="center"/>
    </xf>
    <xf numFmtId="0" fontId="43" fillId="0" borderId="7" xfId="0" applyFont="1" applyFill="1" applyBorder="1" applyAlignment="1">
      <alignment horizontal="left" vertical="center"/>
    </xf>
    <xf numFmtId="10" fontId="43" fillId="0" borderId="8" xfId="0" applyNumberFormat="1" applyFont="1" applyFill="1" applyBorder="1" applyAlignment="1">
      <alignment horizontal="right" vertical="center"/>
    </xf>
    <xf numFmtId="10" fontId="8" fillId="0" borderId="0" xfId="48" applyNumberFormat="1" applyFont="1" applyFill="1" applyBorder="1" applyAlignment="1">
      <alignment horizontal="center" vertical="center"/>
    </xf>
    <xf numFmtId="2" fontId="8" fillId="0" borderId="0" xfId="0" applyNumberFormat="1" applyFont="1" applyBorder="1" applyAlignment="1">
      <alignment vertical="center"/>
    </xf>
    <xf numFmtId="173" fontId="8" fillId="0" borderId="0" xfId="48" applyNumberFormat="1" applyFont="1" applyAlignment="1">
      <alignment vertical="center"/>
    </xf>
    <xf numFmtId="1" fontId="42" fillId="0" borderId="70" xfId="0" applyNumberFormat="1" applyFont="1" applyBorder="1" applyAlignment="1">
      <alignment horizontal="center" vertical="center"/>
    </xf>
    <xf numFmtId="1" fontId="42" fillId="0" borderId="62" xfId="0" applyNumberFormat="1" applyFont="1" applyBorder="1" applyAlignment="1">
      <alignment horizontal="center" vertical="center"/>
    </xf>
    <xf numFmtId="0" fontId="42" fillId="0" borderId="83" xfId="0" applyFont="1" applyBorder="1"/>
    <xf numFmtId="4" fontId="42" fillId="0" borderId="1" xfId="0" applyNumberFormat="1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169" fontId="42" fillId="37" borderId="36" xfId="0" applyNumberFormat="1" applyFont="1" applyFill="1" applyBorder="1"/>
    <xf numFmtId="0" fontId="42" fillId="0" borderId="81" xfId="0" applyFont="1" applyBorder="1"/>
    <xf numFmtId="169" fontId="42" fillId="37" borderId="3" xfId="0" applyNumberFormat="1" applyFont="1" applyFill="1" applyBorder="1"/>
    <xf numFmtId="169" fontId="42" fillId="0" borderId="36" xfId="0" applyNumberFormat="1" applyFont="1" applyBorder="1" applyAlignment="1">
      <alignment vertical="center"/>
    </xf>
    <xf numFmtId="43" fontId="45" fillId="0" borderId="0" xfId="0" applyNumberFormat="1" applyFont="1"/>
    <xf numFmtId="0" fontId="42" fillId="0" borderId="70" xfId="0" applyFont="1" applyBorder="1"/>
    <xf numFmtId="0" fontId="42" fillId="0" borderId="54" xfId="0" applyFont="1" applyBorder="1" applyAlignment="1">
      <alignment horizontal="left" vertical="center" wrapText="1"/>
    </xf>
    <xf numFmtId="0" fontId="42" fillId="0" borderId="54" xfId="0" applyFont="1" applyBorder="1"/>
    <xf numFmtId="0" fontId="42" fillId="0" borderId="54" xfId="0" applyFont="1" applyBorder="1" applyAlignment="1">
      <alignment vertical="center" wrapText="1"/>
    </xf>
    <xf numFmtId="43" fontId="42" fillId="0" borderId="42" xfId="47" applyNumberFormat="1" applyFont="1" applyBorder="1" applyAlignment="1">
      <alignment vertical="center"/>
    </xf>
    <xf numFmtId="43" fontId="42" fillId="0" borderId="45" xfId="47" applyNumberFormat="1" applyFont="1" applyBorder="1" applyAlignment="1">
      <alignment vertical="center"/>
    </xf>
    <xf numFmtId="10" fontId="42" fillId="0" borderId="45" xfId="47" applyNumberFormat="1" applyFont="1" applyBorder="1" applyAlignment="1">
      <alignment vertical="center"/>
    </xf>
    <xf numFmtId="170" fontId="42" fillId="0" borderId="45" xfId="47" applyNumberFormat="1" applyFont="1" applyBorder="1" applyAlignment="1">
      <alignment vertical="center"/>
    </xf>
    <xf numFmtId="9" fontId="42" fillId="0" borderId="48" xfId="47" applyFont="1" applyBorder="1"/>
    <xf numFmtId="43" fontId="42" fillId="37" borderId="51" xfId="48" applyFont="1" applyFill="1" applyBorder="1" applyAlignment="1">
      <alignment horizontal="center"/>
    </xf>
    <xf numFmtId="0" fontId="42" fillId="37" borderId="48" xfId="0" applyFont="1" applyFill="1" applyBorder="1"/>
    <xf numFmtId="4" fontId="42" fillId="0" borderId="72" xfId="0" applyNumberFormat="1" applyFont="1" applyBorder="1" applyAlignment="1">
      <alignment vertical="center"/>
    </xf>
    <xf numFmtId="4" fontId="42" fillId="0" borderId="4" xfId="0" applyNumberFormat="1" applyFont="1" applyBorder="1" applyAlignment="1">
      <alignment vertical="center"/>
    </xf>
    <xf numFmtId="0" fontId="42" fillId="0" borderId="4" xfId="0" applyFont="1" applyBorder="1" applyAlignment="1">
      <alignment vertical="center"/>
    </xf>
    <xf numFmtId="169" fontId="42" fillId="0" borderId="37" xfId="0" applyNumberFormat="1" applyFont="1" applyBorder="1" applyAlignment="1">
      <alignment vertical="center"/>
    </xf>
    <xf numFmtId="169" fontId="42" fillId="37" borderId="12" xfId="0" applyNumberFormat="1" applyFont="1" applyFill="1" applyBorder="1"/>
    <xf numFmtId="4" fontId="42" fillId="0" borderId="66" xfId="0" applyNumberFormat="1" applyFont="1" applyBorder="1" applyAlignment="1">
      <alignment vertical="center"/>
    </xf>
    <xf numFmtId="4" fontId="42" fillId="0" borderId="67" xfId="0" applyNumberFormat="1" applyFont="1" applyBorder="1" applyAlignment="1">
      <alignment vertical="center"/>
    </xf>
    <xf numFmtId="169" fontId="42" fillId="0" borderId="67" xfId="0" applyNumberFormat="1" applyFont="1" applyBorder="1" applyAlignment="1">
      <alignment vertical="center"/>
    </xf>
    <xf numFmtId="169" fontId="42" fillId="0" borderId="68" xfId="0" applyNumberFormat="1" applyFont="1" applyBorder="1" applyAlignment="1">
      <alignment vertical="center"/>
    </xf>
    <xf numFmtId="169" fontId="52" fillId="37" borderId="82" xfId="0" applyNumberFormat="1" applyFont="1" applyFill="1" applyBorder="1"/>
    <xf numFmtId="169" fontId="42" fillId="37" borderId="68" xfId="0" applyNumberFormat="1" applyFont="1" applyFill="1" applyBorder="1"/>
    <xf numFmtId="169" fontId="52" fillId="37" borderId="79" xfId="0" applyNumberFormat="1" applyFont="1" applyFill="1" applyBorder="1"/>
    <xf numFmtId="169" fontId="42" fillId="37" borderId="69" xfId="0" applyNumberFormat="1" applyFont="1" applyFill="1" applyBorder="1" applyAlignment="1">
      <alignment vertical="center"/>
    </xf>
    <xf numFmtId="169" fontId="52" fillId="37" borderId="36" xfId="0" applyNumberFormat="1" applyFont="1" applyFill="1" applyBorder="1"/>
    <xf numFmtId="2" fontId="43" fillId="42" borderId="53" xfId="0" applyNumberFormat="1" applyFont="1" applyFill="1" applyBorder="1" applyAlignment="1">
      <alignment horizontal="right" vertical="center"/>
    </xf>
    <xf numFmtId="0" fontId="43" fillId="0" borderId="45" xfId="0" applyFont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4" fillId="37" borderId="9" xfId="0" applyFont="1" applyFill="1" applyBorder="1" applyAlignment="1">
      <alignment horizontal="center" vertical="center"/>
    </xf>
    <xf numFmtId="0" fontId="24" fillId="37" borderId="11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43" fontId="0" fillId="0" borderId="14" xfId="48" applyFont="1" applyBorder="1" applyAlignment="1">
      <alignment vertical="center"/>
    </xf>
    <xf numFmtId="0" fontId="40" fillId="0" borderId="14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43" fontId="52" fillId="37" borderId="78" xfId="48" applyFont="1" applyFill="1" applyBorder="1" applyAlignment="1">
      <alignment horizontal="center" vertical="center"/>
    </xf>
    <xf numFmtId="0" fontId="52" fillId="37" borderId="9" xfId="0" applyFont="1" applyFill="1" applyBorder="1" applyAlignment="1">
      <alignment horizontal="center" vertical="center"/>
    </xf>
    <xf numFmtId="0" fontId="52" fillId="37" borderId="13" xfId="0" applyFont="1" applyFill="1" applyBorder="1" applyAlignment="1">
      <alignment horizontal="center" vertical="center"/>
    </xf>
    <xf numFmtId="0" fontId="52" fillId="37" borderId="40" xfId="0" applyFont="1" applyFill="1" applyBorder="1" applyAlignment="1">
      <alignment horizontal="center" vertical="center"/>
    </xf>
    <xf numFmtId="0" fontId="52" fillId="37" borderId="34" xfId="0" applyFont="1" applyFill="1" applyBorder="1" applyAlignment="1">
      <alignment horizontal="center" vertical="center"/>
    </xf>
    <xf numFmtId="0" fontId="52" fillId="37" borderId="59" xfId="0" applyFont="1" applyFill="1" applyBorder="1" applyAlignment="1">
      <alignment horizontal="center" vertical="center"/>
    </xf>
    <xf numFmtId="0" fontId="52" fillId="0" borderId="83" xfId="0" applyFont="1" applyBorder="1" applyAlignment="1">
      <alignment horizontal="center" vertical="center"/>
    </xf>
    <xf numFmtId="0" fontId="24" fillId="0" borderId="0" xfId="0" applyFont="1" applyBorder="1" applyAlignment="1" applyProtection="1">
      <alignment vertical="center"/>
      <protection locked="0"/>
    </xf>
    <xf numFmtId="0" fontId="24" fillId="0" borderId="14" xfId="0" applyFont="1" applyBorder="1" applyAlignment="1" applyProtection="1">
      <alignment vertical="center"/>
      <protection locked="0"/>
    </xf>
    <xf numFmtId="0" fontId="24" fillId="0" borderId="79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24" fillId="0" borderId="15" xfId="0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>
      <alignment horizontal="right" vertical="center"/>
    </xf>
    <xf numFmtId="0" fontId="23" fillId="0" borderId="45" xfId="0" applyFont="1" applyFill="1" applyBorder="1" applyAlignment="1">
      <alignment wrapText="1"/>
    </xf>
    <xf numFmtId="177" fontId="23" fillId="37" borderId="53" xfId="48" applyNumberFormat="1" applyFont="1" applyFill="1" applyBorder="1" applyAlignment="1">
      <alignment vertical="center"/>
    </xf>
    <xf numFmtId="179" fontId="23" fillId="0" borderId="53" xfId="0" applyNumberFormat="1" applyFont="1" applyBorder="1" applyAlignment="1">
      <alignment vertical="center"/>
    </xf>
    <xf numFmtId="1" fontId="23" fillId="0" borderId="53" xfId="0" applyNumberFormat="1" applyFont="1" applyBorder="1" applyAlignment="1">
      <alignment vertical="center"/>
    </xf>
    <xf numFmtId="179" fontId="23" fillId="37" borderId="53" xfId="0" applyNumberFormat="1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37" borderId="53" xfId="0" applyFont="1" applyFill="1" applyBorder="1" applyAlignment="1">
      <alignment vertical="center"/>
    </xf>
    <xf numFmtId="180" fontId="23" fillId="37" borderId="53" xfId="0" applyNumberFormat="1" applyFont="1" applyFill="1" applyBorder="1" applyAlignment="1">
      <alignment vertical="center"/>
    </xf>
    <xf numFmtId="179" fontId="23" fillId="0" borderId="55" xfId="0" applyNumberFormat="1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41" fillId="0" borderId="66" xfId="0" applyFont="1" applyBorder="1" applyAlignment="1">
      <alignment horizontal="center" vertical="center"/>
    </xf>
    <xf numFmtId="182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54" fillId="0" borderId="83" xfId="0" applyFont="1" applyBorder="1" applyAlignment="1">
      <alignment horizontal="center" vertical="center"/>
    </xf>
    <xf numFmtId="183" fontId="52" fillId="0" borderId="45" xfId="48" applyNumberFormat="1" applyFont="1" applyBorder="1" applyAlignment="1">
      <alignment vertical="center"/>
    </xf>
    <xf numFmtId="177" fontId="52" fillId="0" borderId="1" xfId="48" applyNumberFormat="1" applyFont="1" applyBorder="1" applyAlignment="1">
      <alignment vertical="center"/>
    </xf>
    <xf numFmtId="177" fontId="52" fillId="0" borderId="53" xfId="48" applyNumberFormat="1" applyFont="1" applyBorder="1" applyAlignment="1">
      <alignment vertical="center"/>
    </xf>
    <xf numFmtId="183" fontId="52" fillId="0" borderId="51" xfId="48" applyNumberFormat="1" applyFont="1" applyBorder="1" applyAlignment="1">
      <alignment vertical="center"/>
    </xf>
    <xf numFmtId="177" fontId="52" fillId="0" borderId="3" xfId="48" applyNumberFormat="1" applyFont="1" applyBorder="1" applyAlignment="1">
      <alignment vertical="center"/>
    </xf>
    <xf numFmtId="183" fontId="52" fillId="0" borderId="56" xfId="48" applyNumberFormat="1" applyFont="1" applyBorder="1" applyAlignment="1">
      <alignment vertical="center"/>
    </xf>
    <xf numFmtId="177" fontId="52" fillId="0" borderId="2" xfId="48" applyNumberFormat="1" applyFont="1" applyBorder="1" applyAlignment="1">
      <alignment vertical="center"/>
    </xf>
    <xf numFmtId="177" fontId="52" fillId="0" borderId="57" xfId="48" applyNumberFormat="1" applyFont="1" applyBorder="1" applyAlignment="1">
      <alignment vertical="center"/>
    </xf>
    <xf numFmtId="0" fontId="24" fillId="37" borderId="6" xfId="0" applyFont="1" applyFill="1" applyBorder="1" applyAlignment="1">
      <alignment horizontal="center" vertical="center"/>
    </xf>
    <xf numFmtId="0" fontId="24" fillId="37" borderId="64" xfId="0" applyFont="1" applyFill="1" applyBorder="1" applyAlignment="1">
      <alignment horizontal="center" vertical="center"/>
    </xf>
    <xf numFmtId="0" fontId="24" fillId="37" borderId="74" xfId="0" applyFont="1" applyFill="1" applyBorder="1" applyAlignment="1">
      <alignment horizontal="center" vertical="center"/>
    </xf>
    <xf numFmtId="0" fontId="24" fillId="37" borderId="74" xfId="0" applyFont="1" applyFill="1" applyBorder="1" applyAlignment="1">
      <alignment horizontal="center" vertical="center" wrapText="1"/>
    </xf>
    <xf numFmtId="0" fontId="24" fillId="37" borderId="43" xfId="0" applyFont="1" applyFill="1" applyBorder="1" applyAlignment="1">
      <alignment horizontal="center" vertical="center"/>
    </xf>
    <xf numFmtId="0" fontId="55" fillId="0" borderId="70" xfId="0" applyFont="1" applyBorder="1" applyAlignment="1">
      <alignment horizontal="left" vertical="center" wrapText="1"/>
    </xf>
    <xf numFmtId="0" fontId="55" fillId="0" borderId="83" xfId="0" applyFont="1" applyBorder="1" applyAlignment="1">
      <alignment horizontal="left" vertical="center" wrapText="1"/>
    </xf>
    <xf numFmtId="0" fontId="54" fillId="0" borderId="66" xfId="0" applyFont="1" applyBorder="1" applyAlignment="1">
      <alignment vertical="center" wrapText="1"/>
    </xf>
    <xf numFmtId="0" fontId="54" fillId="0" borderId="67" xfId="0" applyFont="1" applyBorder="1" applyAlignment="1">
      <alignment horizontal="left" vertical="center"/>
    </xf>
    <xf numFmtId="0" fontId="54" fillId="0" borderId="67" xfId="0" applyFont="1" applyBorder="1" applyAlignment="1">
      <alignment vertical="center"/>
    </xf>
    <xf numFmtId="0" fontId="54" fillId="0" borderId="68" xfId="0" applyFont="1" applyBorder="1" applyAlignment="1">
      <alignment horizontal="left" vertical="center" wrapText="1"/>
    </xf>
    <xf numFmtId="0" fontId="41" fillId="0" borderId="47" xfId="0" applyFont="1" applyBorder="1" applyAlignment="1">
      <alignment vertical="center" wrapText="1"/>
    </xf>
    <xf numFmtId="0" fontId="41" fillId="0" borderId="47" xfId="0" applyFont="1" applyBorder="1" applyAlignment="1">
      <alignment vertical="center"/>
    </xf>
    <xf numFmtId="0" fontId="41" fillId="0" borderId="77" xfId="0" applyFont="1" applyBorder="1" applyAlignment="1">
      <alignment vertical="center"/>
    </xf>
    <xf numFmtId="0" fontId="41" fillId="0" borderId="67" xfId="0" applyFont="1" applyBorder="1" applyAlignment="1">
      <alignment horizontal="center" vertical="center"/>
    </xf>
    <xf numFmtId="0" fontId="41" fillId="0" borderId="68" xfId="0" applyFont="1" applyBorder="1" applyAlignment="1">
      <alignment horizontal="center" vertical="center"/>
    </xf>
    <xf numFmtId="183" fontId="55" fillId="0" borderId="42" xfId="48" applyNumberFormat="1" applyFont="1" applyBorder="1" applyAlignment="1">
      <alignment vertical="center"/>
    </xf>
    <xf numFmtId="177" fontId="55" fillId="0" borderId="39" xfId="48" applyNumberFormat="1" applyFont="1" applyBorder="1" applyAlignment="1">
      <alignment vertical="center"/>
    </xf>
    <xf numFmtId="177" fontId="55" fillId="0" borderId="58" xfId="48" applyNumberFormat="1" applyFont="1" applyBorder="1" applyAlignment="1">
      <alignment vertical="center"/>
    </xf>
    <xf numFmtId="183" fontId="55" fillId="0" borderId="48" xfId="48" applyNumberFormat="1" applyFont="1" applyBorder="1" applyAlignment="1">
      <alignment vertical="center"/>
    </xf>
    <xf numFmtId="177" fontId="55" fillId="0" borderId="36" xfId="48" applyNumberFormat="1" applyFont="1" applyBorder="1" applyAlignment="1">
      <alignment vertical="center"/>
    </xf>
    <xf numFmtId="177" fontId="55" fillId="0" borderId="55" xfId="48" applyNumberFormat="1" applyFont="1" applyBorder="1" applyAlignment="1">
      <alignment vertical="center"/>
    </xf>
    <xf numFmtId="183" fontId="54" fillId="0" borderId="42" xfId="48" applyNumberFormat="1" applyFont="1" applyBorder="1" applyAlignment="1">
      <alignment vertical="center"/>
    </xf>
    <xf numFmtId="177" fontId="54" fillId="0" borderId="39" xfId="48" applyNumberFormat="1" applyFont="1" applyBorder="1" applyAlignment="1">
      <alignment vertical="center"/>
    </xf>
    <xf numFmtId="177" fontId="54" fillId="0" borderId="58" xfId="48" applyNumberFormat="1" applyFont="1" applyBorder="1" applyAlignment="1">
      <alignment vertical="center"/>
    </xf>
    <xf numFmtId="183" fontId="54" fillId="0" borderId="45" xfId="48" applyNumberFormat="1" applyFont="1" applyBorder="1" applyAlignment="1">
      <alignment vertical="center"/>
    </xf>
    <xf numFmtId="177" fontId="54" fillId="0" borderId="1" xfId="48" applyNumberFormat="1" applyFont="1" applyBorder="1" applyAlignment="1">
      <alignment vertical="center"/>
    </xf>
    <xf numFmtId="177" fontId="54" fillId="0" borderId="53" xfId="48" applyNumberFormat="1" applyFont="1" applyBorder="1" applyAlignment="1">
      <alignment vertical="center"/>
    </xf>
    <xf numFmtId="183" fontId="54" fillId="0" borderId="48" xfId="48" applyNumberFormat="1" applyFont="1" applyBorder="1" applyAlignment="1">
      <alignment vertical="center"/>
    </xf>
    <xf numFmtId="177" fontId="54" fillId="0" borderId="36" xfId="48" applyNumberFormat="1" applyFont="1" applyBorder="1" applyAlignment="1">
      <alignment vertical="center"/>
    </xf>
    <xf numFmtId="177" fontId="54" fillId="0" borderId="55" xfId="48" applyNumberFormat="1" applyFont="1" applyBorder="1" applyAlignment="1">
      <alignment vertical="center"/>
    </xf>
    <xf numFmtId="0" fontId="52" fillId="0" borderId="0" xfId="0" applyFont="1"/>
    <xf numFmtId="177" fontId="24" fillId="37" borderId="80" xfId="0" applyNumberFormat="1" applyFont="1" applyFill="1" applyBorder="1" applyAlignment="1">
      <alignment vertical="center"/>
    </xf>
    <xf numFmtId="177" fontId="31" fillId="0" borderId="5" xfId="48" applyNumberFormat="1" applyFont="1" applyFill="1" applyBorder="1" applyAlignment="1">
      <alignment vertical="center"/>
    </xf>
    <xf numFmtId="0" fontId="31" fillId="0" borderId="54" xfId="0" applyFont="1" applyBorder="1" applyAlignment="1">
      <alignment vertical="center"/>
    </xf>
    <xf numFmtId="0" fontId="24" fillId="0" borderId="0" xfId="0" applyFont="1" applyBorder="1" applyAlignment="1" applyProtection="1">
      <alignment horizontal="right" vertical="center"/>
      <protection locked="0"/>
    </xf>
    <xf numFmtId="43" fontId="24" fillId="38" borderId="9" xfId="48" applyFont="1" applyFill="1" applyBorder="1" applyAlignment="1">
      <alignment horizontal="center" vertical="center"/>
    </xf>
    <xf numFmtId="43" fontId="24" fillId="38" borderId="10" xfId="48" applyFont="1" applyFill="1" applyBorder="1" applyAlignment="1">
      <alignment horizontal="center" vertical="center"/>
    </xf>
    <xf numFmtId="43" fontId="24" fillId="38" borderId="11" xfId="48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38" borderId="6" xfId="0" applyFont="1" applyFill="1" applyBorder="1" applyAlignment="1">
      <alignment horizontal="center" vertical="center"/>
    </xf>
    <xf numFmtId="0" fontId="25" fillId="38" borderId="7" xfId="0" applyFont="1" applyFill="1" applyBorder="1" applyAlignment="1">
      <alignment horizontal="center" vertical="center"/>
    </xf>
    <xf numFmtId="0" fontId="25" fillId="38" borderId="8" xfId="0" applyFont="1" applyFill="1" applyBorder="1" applyAlignment="1">
      <alignment horizontal="center" vertical="center"/>
    </xf>
    <xf numFmtId="0" fontId="24" fillId="38" borderId="70" xfId="0" applyFont="1" applyFill="1" applyBorder="1" applyAlignment="1">
      <alignment horizontal="center" vertical="center"/>
    </xf>
    <xf numFmtId="0" fontId="24" fillId="38" borderId="71" xfId="0" applyFont="1" applyFill="1" applyBorder="1" applyAlignment="1">
      <alignment horizontal="center" vertical="center"/>
    </xf>
    <xf numFmtId="0" fontId="24" fillId="38" borderId="44" xfId="0" applyFont="1" applyFill="1" applyBorder="1" applyAlignment="1">
      <alignment horizontal="center" vertical="center"/>
    </xf>
    <xf numFmtId="0" fontId="40" fillId="0" borderId="61" xfId="0" applyFont="1" applyFill="1" applyBorder="1" applyAlignment="1">
      <alignment horizontal="center" vertical="center"/>
    </xf>
    <xf numFmtId="0" fontId="40" fillId="0" borderId="7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43" fontId="31" fillId="0" borderId="54" xfId="48" applyFont="1" applyBorder="1" applyAlignment="1">
      <alignment horizontal="left" vertical="center"/>
    </xf>
    <xf numFmtId="43" fontId="31" fillId="0" borderId="5" xfId="48" applyFont="1" applyBorder="1" applyAlignment="1">
      <alignment horizontal="left" vertical="center"/>
    </xf>
    <xf numFmtId="43" fontId="31" fillId="0" borderId="9" xfId="48" applyFont="1" applyBorder="1" applyAlignment="1">
      <alignment horizontal="center" vertical="center"/>
    </xf>
    <xf numFmtId="43" fontId="31" fillId="0" borderId="10" xfId="48" applyFont="1" applyBorder="1" applyAlignment="1">
      <alignment horizontal="center" vertical="center"/>
    </xf>
    <xf numFmtId="43" fontId="31" fillId="0" borderId="73" xfId="48" applyFont="1" applyBorder="1" applyAlignment="1">
      <alignment horizontal="center" vertical="center"/>
    </xf>
    <xf numFmtId="0" fontId="31" fillId="0" borderId="64" xfId="0" applyFont="1" applyBorder="1" applyAlignment="1">
      <alignment horizontal="center" vertical="center"/>
    </xf>
    <xf numFmtId="0" fontId="31" fillId="0" borderId="74" xfId="0" applyFont="1" applyBorder="1" applyAlignment="1">
      <alignment horizontal="center" vertical="center"/>
    </xf>
    <xf numFmtId="0" fontId="24" fillId="0" borderId="0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center" vertical="center"/>
    </xf>
    <xf numFmtId="0" fontId="51" fillId="37" borderId="6" xfId="0" applyFont="1" applyFill="1" applyBorder="1" applyAlignment="1">
      <alignment horizontal="center" vertical="center"/>
    </xf>
    <xf numFmtId="0" fontId="51" fillId="37" borderId="7" xfId="0" applyFont="1" applyFill="1" applyBorder="1" applyAlignment="1">
      <alignment horizontal="center" vertical="center"/>
    </xf>
    <xf numFmtId="0" fontId="51" fillId="37" borderId="8" xfId="0" applyFont="1" applyFill="1" applyBorder="1" applyAlignment="1">
      <alignment horizontal="center" vertical="center"/>
    </xf>
    <xf numFmtId="0" fontId="51" fillId="37" borderId="50" xfId="0" applyFont="1" applyFill="1" applyBorder="1" applyAlignment="1">
      <alignment horizontal="center" vertical="center"/>
    </xf>
    <xf numFmtId="0" fontId="51" fillId="37" borderId="0" xfId="0" applyFont="1" applyFill="1" applyBorder="1" applyAlignment="1">
      <alignment horizontal="center" vertical="center"/>
    </xf>
    <xf numFmtId="0" fontId="51" fillId="37" borderId="15" xfId="0" applyFont="1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41" fillId="0" borderId="48" xfId="0" applyFont="1" applyFill="1" applyBorder="1" applyAlignment="1" applyProtection="1">
      <alignment horizontal="center" vertical="center" wrapText="1"/>
      <protection locked="0"/>
    </xf>
    <xf numFmtId="0" fontId="41" fillId="0" borderId="36" xfId="0" applyFont="1" applyFill="1" applyBorder="1" applyAlignment="1" applyProtection="1">
      <alignment horizontal="center" vertical="center" wrapText="1"/>
      <protection locked="0"/>
    </xf>
    <xf numFmtId="0" fontId="41" fillId="0" borderId="55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50" fillId="0" borderId="17" xfId="0" applyFont="1" applyBorder="1" applyAlignment="1">
      <alignment horizontal="center"/>
    </xf>
    <xf numFmtId="0" fontId="52" fillId="37" borderId="48" xfId="0" applyFont="1" applyFill="1" applyBorder="1" applyAlignment="1">
      <alignment horizontal="center" vertical="center"/>
    </xf>
    <xf numFmtId="0" fontId="52" fillId="37" borderId="37" xfId="0" applyFont="1" applyFill="1" applyBorder="1" applyAlignment="1">
      <alignment horizontal="center" vertical="center"/>
    </xf>
    <xf numFmtId="0" fontId="41" fillId="0" borderId="42" xfId="0" applyFont="1" applyFill="1" applyBorder="1" applyAlignment="1" applyProtection="1">
      <alignment horizontal="left" vertical="center" wrapText="1"/>
      <protection locked="0"/>
    </xf>
    <xf numFmtId="0" fontId="41" fillId="0" borderId="39" xfId="0" applyFont="1" applyFill="1" applyBorder="1" applyAlignment="1" applyProtection="1">
      <alignment horizontal="left" vertical="center" wrapText="1"/>
      <protection locked="0"/>
    </xf>
    <xf numFmtId="0" fontId="41" fillId="0" borderId="58" xfId="0" applyFont="1" applyFill="1" applyBorder="1" applyAlignment="1" applyProtection="1">
      <alignment horizontal="left" vertical="center" wrapText="1"/>
      <protection locked="0"/>
    </xf>
    <xf numFmtId="0" fontId="52" fillId="37" borderId="70" xfId="0" applyFont="1" applyFill="1" applyBorder="1" applyAlignment="1">
      <alignment horizontal="center"/>
    </xf>
    <xf numFmtId="0" fontId="52" fillId="37" borderId="44" xfId="0" applyFont="1" applyFill="1" applyBorder="1" applyAlignment="1">
      <alignment horizontal="center"/>
    </xf>
    <xf numFmtId="0" fontId="52" fillId="37" borderId="54" xfId="0" applyFont="1" applyFill="1" applyBorder="1" applyAlignment="1">
      <alignment horizontal="center" vertical="center" wrapText="1"/>
    </xf>
    <xf numFmtId="0" fontId="52" fillId="37" borderId="47" xfId="0" applyFont="1" applyFill="1" applyBorder="1" applyAlignment="1">
      <alignment horizontal="center" vertical="center" wrapText="1"/>
    </xf>
    <xf numFmtId="0" fontId="24" fillId="41" borderId="9" xfId="0" applyFont="1" applyFill="1" applyBorder="1" applyAlignment="1">
      <alignment horizontal="center" vertical="center"/>
    </xf>
    <xf numFmtId="0" fontId="24" fillId="41" borderId="11" xfId="0" applyFont="1" applyFill="1" applyBorder="1" applyAlignment="1">
      <alignment horizontal="center" vertical="center"/>
    </xf>
    <xf numFmtId="0" fontId="25" fillId="0" borderId="14" xfId="0" applyFont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54" fillId="0" borderId="63" xfId="0" applyFont="1" applyBorder="1" applyAlignment="1">
      <alignment horizontal="center" vertical="center"/>
    </xf>
    <xf numFmtId="0" fontId="54" fillId="0" borderId="79" xfId="0" applyFont="1" applyBorder="1" applyAlignment="1">
      <alignment horizontal="center" vertical="center"/>
    </xf>
    <xf numFmtId="0" fontId="54" fillId="0" borderId="80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1" fillId="37" borderId="63" xfId="0" applyFont="1" applyFill="1" applyBorder="1" applyAlignment="1">
      <alignment horizontal="center" vertical="center"/>
    </xf>
    <xf numFmtId="0" fontId="41" fillId="37" borderId="79" xfId="0" applyFont="1" applyFill="1" applyBorder="1" applyAlignment="1">
      <alignment horizontal="center" vertical="center"/>
    </xf>
    <xf numFmtId="0" fontId="41" fillId="37" borderId="80" xfId="0" applyFont="1" applyFill="1" applyBorder="1" applyAlignment="1">
      <alignment horizontal="center" vertical="center"/>
    </xf>
    <xf numFmtId="183" fontId="52" fillId="37" borderId="64" xfId="48" applyNumberFormat="1" applyFont="1" applyFill="1" applyBorder="1" applyAlignment="1">
      <alignment horizontal="center" vertical="center"/>
    </xf>
    <xf numFmtId="183" fontId="52" fillId="37" borderId="78" xfId="48" applyNumberFormat="1" applyFont="1" applyFill="1" applyBorder="1" applyAlignment="1">
      <alignment horizontal="center" vertical="center"/>
    </xf>
    <xf numFmtId="183" fontId="52" fillId="37" borderId="65" xfId="48" applyNumberFormat="1" applyFont="1" applyFill="1" applyBorder="1" applyAlignment="1">
      <alignment horizontal="center" vertical="center"/>
    </xf>
    <xf numFmtId="177" fontId="52" fillId="37" borderId="74" xfId="48" applyNumberFormat="1" applyFont="1" applyFill="1" applyBorder="1" applyAlignment="1">
      <alignment horizontal="center" vertical="center"/>
    </xf>
    <xf numFmtId="177" fontId="52" fillId="37" borderId="69" xfId="48" applyNumberFormat="1" applyFont="1" applyFill="1" applyBorder="1" applyAlignment="1">
      <alignment horizontal="center" vertical="center"/>
    </xf>
    <xf numFmtId="177" fontId="52" fillId="37" borderId="35" xfId="48" applyNumberFormat="1" applyFont="1" applyFill="1" applyBorder="1" applyAlignment="1">
      <alignment horizontal="center" vertical="center"/>
    </xf>
    <xf numFmtId="177" fontId="52" fillId="37" borderId="43" xfId="48" applyNumberFormat="1" applyFont="1" applyFill="1" applyBorder="1" applyAlignment="1">
      <alignment horizontal="center" vertical="center"/>
    </xf>
    <xf numFmtId="177" fontId="52" fillId="37" borderId="46" xfId="48" applyNumberFormat="1" applyFont="1" applyFill="1" applyBorder="1" applyAlignment="1">
      <alignment horizontal="center" vertical="center"/>
    </xf>
    <xf numFmtId="177" fontId="52" fillId="37" borderId="49" xfId="48" applyNumberFormat="1" applyFont="1" applyFill="1" applyBorder="1" applyAlignment="1">
      <alignment horizontal="center" vertical="center"/>
    </xf>
    <xf numFmtId="0" fontId="24" fillId="37" borderId="9" xfId="0" applyFont="1" applyFill="1" applyBorder="1" applyAlignment="1">
      <alignment horizontal="center" vertical="center"/>
    </xf>
    <xf numFmtId="0" fontId="24" fillId="37" borderId="10" xfId="0" applyFont="1" applyFill="1" applyBorder="1" applyAlignment="1">
      <alignment horizontal="center" vertical="center"/>
    </xf>
    <xf numFmtId="0" fontId="24" fillId="37" borderId="11" xfId="0" applyFont="1" applyFill="1" applyBorder="1" applyAlignment="1">
      <alignment horizontal="center" vertical="center"/>
    </xf>
    <xf numFmtId="0" fontId="52" fillId="0" borderId="54" xfId="0" applyFont="1" applyBorder="1" applyAlignment="1">
      <alignment horizontal="center" vertical="center"/>
    </xf>
    <xf numFmtId="0" fontId="52" fillId="0" borderId="81" xfId="0" applyFont="1" applyBorder="1" applyAlignment="1">
      <alignment horizontal="center" vertical="center"/>
    </xf>
    <xf numFmtId="0" fontId="52" fillId="0" borderId="79" xfId="0" applyFont="1" applyBorder="1" applyAlignment="1">
      <alignment horizontal="center" vertical="center"/>
    </xf>
    <xf numFmtId="0" fontId="52" fillId="0" borderId="80" xfId="0" applyFont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/>
    </xf>
    <xf numFmtId="0" fontId="55" fillId="0" borderId="33" xfId="0" applyFont="1" applyBorder="1" applyAlignment="1">
      <alignment horizontal="center" vertical="center"/>
    </xf>
    <xf numFmtId="0" fontId="55" fillId="0" borderId="63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 wrapText="1"/>
    </xf>
    <xf numFmtId="0" fontId="26" fillId="0" borderId="61" xfId="0" applyFont="1" applyFill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0" xfId="0" applyFont="1" applyBorder="1" applyAlignment="1">
      <alignment horizontal="right" vertical="center"/>
    </xf>
    <xf numFmtId="0" fontId="50" fillId="0" borderId="17" xfId="0" applyFont="1" applyBorder="1" applyAlignment="1">
      <alignment horizontal="center" vertical="center"/>
    </xf>
    <xf numFmtId="0" fontId="41" fillId="37" borderId="79" xfId="0" applyFont="1" applyFill="1" applyBorder="1" applyAlignment="1">
      <alignment horizontal="center" vertical="center" wrapText="1"/>
    </xf>
    <xf numFmtId="0" fontId="41" fillId="37" borderId="80" xfId="0" applyFont="1" applyFill="1" applyBorder="1" applyAlignment="1">
      <alignment horizontal="center" vertical="center" wrapText="1"/>
    </xf>
    <xf numFmtId="0" fontId="52" fillId="37" borderId="70" xfId="0" applyFont="1" applyFill="1" applyBorder="1" applyAlignment="1">
      <alignment horizontal="center" vertical="center" wrapText="1"/>
    </xf>
    <xf numFmtId="0" fontId="52" fillId="37" borderId="83" xfId="0" applyFont="1" applyFill="1" applyBorder="1" applyAlignment="1">
      <alignment horizontal="center" vertical="center" wrapText="1"/>
    </xf>
    <xf numFmtId="0" fontId="54" fillId="0" borderId="81" xfId="0" applyFont="1" applyBorder="1" applyAlignment="1">
      <alignment horizontal="center" vertical="center"/>
    </xf>
    <xf numFmtId="0" fontId="54" fillId="0" borderId="62" xfId="0" applyFont="1" applyBorder="1" applyAlignment="1">
      <alignment horizontal="center" vertical="center"/>
    </xf>
    <xf numFmtId="0" fontId="41" fillId="0" borderId="50" xfId="0" applyFont="1" applyBorder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41" fillId="0" borderId="33" xfId="0" applyFont="1" applyBorder="1" applyAlignment="1">
      <alignment horizontal="center" vertical="center"/>
    </xf>
    <xf numFmtId="0" fontId="54" fillId="0" borderId="54" xfId="0" applyFont="1" applyBorder="1" applyAlignment="1">
      <alignment horizontal="center" vertical="center"/>
    </xf>
    <xf numFmtId="0" fontId="52" fillId="37" borderId="63" xfId="0" applyFont="1" applyFill="1" applyBorder="1" applyAlignment="1">
      <alignment horizontal="center" vertical="center"/>
    </xf>
    <xf numFmtId="0" fontId="52" fillId="37" borderId="79" xfId="0" applyFont="1" applyFill="1" applyBorder="1" applyAlignment="1">
      <alignment horizontal="center" vertical="center"/>
    </xf>
    <xf numFmtId="0" fontId="52" fillId="37" borderId="80" xfId="0" applyFont="1" applyFill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50" xfId="0" applyFont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60" xfId="0" applyFont="1" applyBorder="1" applyAlignment="1">
      <alignment horizontal="center" vertical="center"/>
    </xf>
    <xf numFmtId="0" fontId="50" fillId="0" borderId="60" xfId="0" applyFont="1" applyBorder="1" applyAlignment="1">
      <alignment horizontal="center"/>
    </xf>
    <xf numFmtId="9" fontId="41" fillId="0" borderId="42" xfId="47" applyFont="1" applyBorder="1" applyAlignment="1">
      <alignment horizontal="center"/>
    </xf>
    <xf numFmtId="9" fontId="41" fillId="0" borderId="39" xfId="47" applyFont="1" applyBorder="1" applyAlignment="1">
      <alignment horizontal="center"/>
    </xf>
    <xf numFmtId="9" fontId="41" fillId="0" borderId="58" xfId="47" applyFont="1" applyBorder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0" fontId="30" fillId="0" borderId="36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4" fillId="0" borderId="14" xfId="0" applyFont="1" applyBorder="1" applyAlignment="1" applyProtection="1">
      <alignment horizontal="right" vertical="center"/>
      <protection locked="0"/>
    </xf>
    <xf numFmtId="0" fontId="24" fillId="0" borderId="15" xfId="0" applyFont="1" applyBorder="1" applyAlignment="1" applyProtection="1">
      <alignment horizontal="right" vertical="center"/>
      <protection locked="0"/>
    </xf>
    <xf numFmtId="0" fontId="24" fillId="0" borderId="14" xfId="0" applyFont="1" applyBorder="1" applyAlignment="1">
      <alignment horizontal="right" vertical="center"/>
    </xf>
    <xf numFmtId="0" fontId="24" fillId="0" borderId="15" xfId="0" applyFont="1" applyBorder="1" applyAlignment="1">
      <alignment horizontal="right" vertical="center"/>
    </xf>
    <xf numFmtId="0" fontId="24" fillId="0" borderId="79" xfId="0" applyFont="1" applyBorder="1" applyAlignment="1">
      <alignment horizontal="center" vertical="center"/>
    </xf>
  </cellXfs>
  <cellStyles count="50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Hiperlink" xfId="49" builtinId="8"/>
    <cellStyle name="Incorreto" xfId="12" builtinId="27" customBuiltin="1"/>
    <cellStyle name="Moeda 2" xfId="2"/>
    <cellStyle name="Neutra" xfId="13" builtinId="28" customBuiltin="1"/>
    <cellStyle name="Normal" xfId="0" builtinId="0"/>
    <cellStyle name="Normal 2" xfId="1"/>
    <cellStyle name="Normal 2 2" xfId="3"/>
    <cellStyle name="Nota" xfId="20" builtinId="10" customBuiltin="1"/>
    <cellStyle name="Porcentagem" xfId="47" builtinId="5"/>
    <cellStyle name="Saída" xfId="15" builtinId="21" customBuiltin="1"/>
    <cellStyle name="Separador de milhares 3" xfId="5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48" builtinId="3"/>
    <cellStyle name="Vírgula 2" xfId="4"/>
  </cellStyles>
  <dxfs count="0"/>
  <tableStyles count="0" defaultTableStyle="TableStyleMedium2" defaultPivotStyle="PivotStyleLight16"/>
  <colors>
    <mruColors>
      <color rgb="FFF2FD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179915</xdr:colOff>
      <xdr:row>0</xdr:row>
      <xdr:rowOff>105833</xdr:rowOff>
    </xdr:from>
    <xdr:to>
      <xdr:col>1</xdr:col>
      <xdr:colOff>1319892</xdr:colOff>
      <xdr:row>6</xdr:row>
      <xdr:rowOff>13608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515" y="105833"/>
          <a:ext cx="1139977" cy="1079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28575</xdr:rowOff>
    </xdr:from>
    <xdr:to>
      <xdr:col>1</xdr:col>
      <xdr:colOff>714375</xdr:colOff>
      <xdr:row>6</xdr:row>
      <xdr:rowOff>152400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4300" y="219075"/>
          <a:ext cx="1203325" cy="1187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137016</xdr:colOff>
      <xdr:row>1</xdr:row>
      <xdr:rowOff>223762</xdr:rowOff>
    </xdr:from>
    <xdr:to>
      <xdr:col>2</xdr:col>
      <xdr:colOff>1053384</xdr:colOff>
      <xdr:row>5</xdr:row>
      <xdr:rowOff>142875</xdr:rowOff>
    </xdr:to>
    <xdr:pic>
      <xdr:nvPicPr>
        <xdr:cNvPr id="5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516" y="477762"/>
          <a:ext cx="916368" cy="871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2</xdr:row>
      <xdr:rowOff>105833</xdr:rowOff>
    </xdr:from>
    <xdr:to>
      <xdr:col>2</xdr:col>
      <xdr:colOff>231321</xdr:colOff>
      <xdr:row>7</xdr:row>
      <xdr:rowOff>102658</xdr:rowOff>
    </xdr:to>
    <xdr:pic>
      <xdr:nvPicPr>
        <xdr:cNvPr id="4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05833"/>
          <a:ext cx="1088571" cy="1006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74083</xdr:colOff>
      <xdr:row>0</xdr:row>
      <xdr:rowOff>126999</xdr:rowOff>
    </xdr:from>
    <xdr:to>
      <xdr:col>1</xdr:col>
      <xdr:colOff>994834</xdr:colOff>
      <xdr:row>5</xdr:row>
      <xdr:rowOff>0</xdr:rowOff>
    </xdr:to>
    <xdr:pic>
      <xdr:nvPicPr>
        <xdr:cNvPr id="3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683" y="126999"/>
          <a:ext cx="920751" cy="882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2</xdr:row>
      <xdr:rowOff>74083</xdr:rowOff>
    </xdr:from>
    <xdr:to>
      <xdr:col>1</xdr:col>
      <xdr:colOff>1058334</xdr:colOff>
      <xdr:row>6</xdr:row>
      <xdr:rowOff>0</xdr:rowOff>
    </xdr:to>
    <xdr:pic>
      <xdr:nvPicPr>
        <xdr:cNvPr id="3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267" y="74083"/>
          <a:ext cx="973667" cy="8593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74082</xdr:colOff>
      <xdr:row>1</xdr:row>
      <xdr:rowOff>63500</xdr:rowOff>
    </xdr:from>
    <xdr:to>
      <xdr:col>2</xdr:col>
      <xdr:colOff>10583</xdr:colOff>
      <xdr:row>5</xdr:row>
      <xdr:rowOff>0</xdr:rowOff>
    </xdr:to>
    <xdr:pic>
      <xdr:nvPicPr>
        <xdr:cNvPr id="3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682" y="63500"/>
          <a:ext cx="841376" cy="774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13</xdr:row>
      <xdr:rowOff>28575</xdr:rowOff>
    </xdr:from>
    <xdr:to>
      <xdr:col>1</xdr:col>
      <xdr:colOff>1419225</xdr:colOff>
      <xdr:row>15</xdr:row>
      <xdr:rowOff>66675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600325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85725</xdr:colOff>
      <xdr:row>16</xdr:row>
      <xdr:rowOff>9525</xdr:rowOff>
    </xdr:from>
    <xdr:to>
      <xdr:col>1</xdr:col>
      <xdr:colOff>2124075</xdr:colOff>
      <xdr:row>18</xdr:row>
      <xdr:rowOff>57150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3067050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109802</xdr:colOff>
      <xdr:row>3</xdr:row>
      <xdr:rowOff>1</xdr:rowOff>
    </xdr:from>
    <xdr:to>
      <xdr:col>1</xdr:col>
      <xdr:colOff>924402</xdr:colOff>
      <xdr:row>5</xdr:row>
      <xdr:rowOff>190501</xdr:rowOff>
    </xdr:to>
    <xdr:pic>
      <xdr:nvPicPr>
        <xdr:cNvPr id="4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402" y="561976"/>
          <a:ext cx="8146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\OneDrive\&#193;rea%20de%20Trabalho\Planilha%20TCE%20Organico%20-%20Concorr&#234;ncia%20-%20Ofi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Coleta Domiciliar Úmido"/>
      <sheetName val="7. Dimensionamento"/>
      <sheetName val="ITINERÁRIO LIXO ÚMIDO"/>
      <sheetName val="2.Encargos Sociais"/>
      <sheetName val="4.BDI"/>
      <sheetName val="5. Depreciação"/>
      <sheetName val="6.Remuneração de capital"/>
      <sheetName val="3.CAGED"/>
      <sheetName val="Planilha1"/>
    </sheetNames>
    <sheetDataSet>
      <sheetData sheetId="0"/>
      <sheetData sheetId="1">
        <row r="14">
          <cell r="D14">
            <v>300.15689999999995</v>
          </cell>
        </row>
      </sheetData>
      <sheetData sheetId="2">
        <row r="32">
          <cell r="H32">
            <v>5696.7430000000004</v>
          </cell>
        </row>
      </sheetData>
      <sheetData sheetId="3">
        <row r="37">
          <cell r="D37">
            <v>0.75870000000000004</v>
          </cell>
        </row>
      </sheetData>
      <sheetData sheetId="4">
        <row r="20">
          <cell r="D20">
            <v>0.25380000000000003</v>
          </cell>
        </row>
      </sheetData>
      <sheetData sheetId="5">
        <row r="11">
          <cell r="C11">
            <v>1</v>
          </cell>
          <cell r="D11">
            <v>33.629999999999995</v>
          </cell>
        </row>
        <row r="12">
          <cell r="C12">
            <v>2</v>
          </cell>
          <cell r="D12">
            <v>43.13</v>
          </cell>
        </row>
        <row r="13">
          <cell r="C13">
            <v>3</v>
          </cell>
          <cell r="D13">
            <v>48.68</v>
          </cell>
        </row>
        <row r="14">
          <cell r="C14">
            <v>4</v>
          </cell>
          <cell r="D14">
            <v>52.62</v>
          </cell>
        </row>
        <row r="15">
          <cell r="C15">
            <v>5</v>
          </cell>
          <cell r="D15">
            <v>55.679999999999993</v>
          </cell>
        </row>
        <row r="16">
          <cell r="C16">
            <v>6</v>
          </cell>
          <cell r="D16">
            <v>58.18</v>
          </cell>
        </row>
        <row r="17">
          <cell r="C17">
            <v>7</v>
          </cell>
          <cell r="D17">
            <v>60.29</v>
          </cell>
        </row>
        <row r="18">
          <cell r="C18">
            <v>8</v>
          </cell>
          <cell r="D18">
            <v>62.12</v>
          </cell>
        </row>
        <row r="19">
          <cell r="C19">
            <v>9</v>
          </cell>
          <cell r="D19">
            <v>63.73</v>
          </cell>
        </row>
        <row r="20">
          <cell r="C20">
            <v>10</v>
          </cell>
          <cell r="D20">
            <v>65.180000000000007</v>
          </cell>
        </row>
        <row r="21">
          <cell r="C21">
            <v>11</v>
          </cell>
          <cell r="D21">
            <v>66.47999999999999</v>
          </cell>
        </row>
        <row r="22">
          <cell r="C22">
            <v>12</v>
          </cell>
          <cell r="D22">
            <v>67.67</v>
          </cell>
        </row>
        <row r="23">
          <cell r="C23">
            <v>13</v>
          </cell>
          <cell r="D23">
            <v>68.77</v>
          </cell>
        </row>
        <row r="24">
          <cell r="C24">
            <v>14</v>
          </cell>
          <cell r="D24">
            <v>69.789999999999992</v>
          </cell>
        </row>
        <row r="25">
          <cell r="C25">
            <v>15</v>
          </cell>
          <cell r="D25">
            <v>70.73</v>
          </cell>
        </row>
      </sheetData>
      <sheetData sheetId="6"/>
      <sheetData sheetId="7">
        <row r="26">
          <cell r="C26">
            <v>0.55877253814147021</v>
          </cell>
        </row>
        <row r="27">
          <cell r="C27">
            <v>0.48907766990291263</v>
          </cell>
        </row>
        <row r="28">
          <cell r="C28">
            <v>360</v>
          </cell>
        </row>
        <row r="29">
          <cell r="C29">
            <v>10</v>
          </cell>
        </row>
        <row r="30">
          <cell r="C30">
            <v>30</v>
          </cell>
        </row>
        <row r="31">
          <cell r="C31">
            <v>30</v>
          </cell>
        </row>
        <row r="33">
          <cell r="C33">
            <v>0.08</v>
          </cell>
        </row>
        <row r="34">
          <cell r="C34">
            <v>0.5</v>
          </cell>
        </row>
        <row r="36">
          <cell r="C36">
            <v>33</v>
          </cell>
        </row>
        <row r="37">
          <cell r="C37">
            <v>21.4756438101148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2"/>
  <sheetViews>
    <sheetView view="pageBreakPreview" topLeftCell="A434" zoomScale="60" zoomScaleNormal="70" workbookViewId="0">
      <selection activeCell="L14" sqref="L14"/>
    </sheetView>
  </sheetViews>
  <sheetFormatPr defaultColWidth="9.140625" defaultRowHeight="12.75" x14ac:dyDescent="0.25"/>
  <cols>
    <col min="1" max="1" width="9.140625" style="15"/>
    <col min="2" max="2" width="52.5703125" style="15" customWidth="1"/>
    <col min="3" max="3" width="16" style="15" bestFit="1" customWidth="1"/>
    <col min="4" max="4" width="14.42578125" style="15" customWidth="1"/>
    <col min="5" max="5" width="14.7109375" style="136" customWidth="1"/>
    <col min="6" max="6" width="18.28515625" style="136" customWidth="1"/>
    <col min="7" max="7" width="17.42578125" style="136" customWidth="1"/>
    <col min="8" max="8" width="16.42578125" style="18" customWidth="1"/>
    <col min="9" max="9" width="13.28515625" style="17" customWidth="1"/>
    <col min="10" max="10" width="14.5703125" style="15" customWidth="1"/>
    <col min="11" max="11" width="13.42578125" style="15" customWidth="1"/>
    <col min="12" max="12" width="11.7109375" style="15" customWidth="1"/>
    <col min="13" max="16384" width="9.140625" style="15"/>
  </cols>
  <sheetData>
    <row r="1" spans="2:9" ht="18" x14ac:dyDescent="0.25">
      <c r="B1" s="543" t="s">
        <v>156</v>
      </c>
      <c r="C1" s="544"/>
      <c r="D1" s="544"/>
      <c r="E1" s="544"/>
      <c r="F1" s="544"/>
      <c r="G1" s="545"/>
      <c r="H1" s="14"/>
      <c r="I1" s="14"/>
    </row>
    <row r="2" spans="2:9" x14ac:dyDescent="0.25">
      <c r="B2" s="16"/>
      <c r="C2" s="17"/>
      <c r="D2" s="17"/>
      <c r="E2" s="18"/>
      <c r="F2" s="18"/>
      <c r="G2" s="19"/>
      <c r="H2" s="20" t="s">
        <v>184</v>
      </c>
    </row>
    <row r="3" spans="2:9" s="22" customFormat="1" ht="18" x14ac:dyDescent="0.25">
      <c r="B3" s="546" t="s">
        <v>155</v>
      </c>
      <c r="C3" s="547"/>
      <c r="D3" s="547"/>
      <c r="E3" s="547"/>
      <c r="F3" s="547"/>
      <c r="G3" s="548"/>
      <c r="H3" s="21"/>
      <c r="I3" s="21"/>
    </row>
    <row r="4" spans="2:9" s="22" customFormat="1" ht="15" x14ac:dyDescent="0.25">
      <c r="B4" s="16"/>
      <c r="C4" s="20"/>
      <c r="D4" s="20"/>
      <c r="E4" s="20"/>
      <c r="F4" s="20"/>
      <c r="G4" s="23"/>
      <c r="H4" s="20" t="s">
        <v>185</v>
      </c>
      <c r="I4" s="24"/>
    </row>
    <row r="5" spans="2:9" s="22" customFormat="1" ht="18" x14ac:dyDescent="0.25">
      <c r="B5" s="549" t="s">
        <v>531</v>
      </c>
      <c r="C5" s="550"/>
      <c r="D5" s="550"/>
      <c r="E5" s="550"/>
      <c r="F5" s="550"/>
      <c r="G5" s="551"/>
      <c r="H5" s="25"/>
      <c r="I5" s="24"/>
    </row>
    <row r="6" spans="2:9" s="22" customFormat="1" ht="15" x14ac:dyDescent="0.25">
      <c r="B6" s="16"/>
      <c r="C6" s="26"/>
      <c r="D6" s="26"/>
      <c r="E6" s="26"/>
      <c r="F6" s="26"/>
      <c r="G6" s="27"/>
      <c r="H6" s="25"/>
      <c r="I6" s="24"/>
    </row>
    <row r="7" spans="2:9" s="22" customFormat="1" ht="16.5" customHeight="1" thickBot="1" x14ac:dyDescent="0.3">
      <c r="B7" s="16"/>
      <c r="C7" s="26"/>
      <c r="D7" s="26"/>
      <c r="E7" s="25"/>
      <c r="F7" s="25"/>
      <c r="G7" s="28"/>
      <c r="H7" s="25"/>
      <c r="I7" s="24"/>
    </row>
    <row r="8" spans="2:9" s="31" customFormat="1" ht="18.75" thickBot="1" x14ac:dyDescent="0.3">
      <c r="B8" s="552" t="s">
        <v>532</v>
      </c>
      <c r="C8" s="553"/>
      <c r="D8" s="553"/>
      <c r="E8" s="553"/>
      <c r="F8" s="553"/>
      <c r="G8" s="554"/>
      <c r="H8" s="29"/>
      <c r="I8" s="30"/>
    </row>
    <row r="9" spans="2:9" s="31" customFormat="1" ht="21.75" customHeight="1" x14ac:dyDescent="0.25">
      <c r="B9" s="555" t="s">
        <v>186</v>
      </c>
      <c r="C9" s="556"/>
      <c r="D9" s="556"/>
      <c r="E9" s="556"/>
      <c r="F9" s="556"/>
      <c r="G9" s="557"/>
      <c r="H9" s="29"/>
      <c r="I9" s="30"/>
    </row>
    <row r="10" spans="2:9" s="22" customFormat="1" ht="10.9" customHeight="1" thickBot="1" x14ac:dyDescent="0.3">
      <c r="B10" s="32"/>
      <c r="C10" s="33"/>
      <c r="D10" s="33"/>
      <c r="E10" s="34"/>
      <c r="F10" s="34"/>
      <c r="G10" s="35"/>
      <c r="H10" s="25"/>
      <c r="I10" s="24"/>
    </row>
    <row r="11" spans="2:9" s="22" customFormat="1" ht="15.75" customHeight="1" thickBot="1" x14ac:dyDescent="0.3">
      <c r="B11" s="540" t="s">
        <v>187</v>
      </c>
      <c r="C11" s="541"/>
      <c r="D11" s="541"/>
      <c r="E11" s="541"/>
      <c r="F11" s="541"/>
      <c r="G11" s="542"/>
      <c r="H11" s="25"/>
      <c r="I11" s="24"/>
    </row>
    <row r="12" spans="2:9" s="22" customFormat="1" ht="15.75" customHeight="1" x14ac:dyDescent="0.25">
      <c r="B12" s="36" t="s">
        <v>188</v>
      </c>
      <c r="C12" s="37"/>
      <c r="D12" s="37"/>
      <c r="E12" s="38"/>
      <c r="F12" s="39" t="s">
        <v>189</v>
      </c>
      <c r="G12" s="40" t="s">
        <v>154</v>
      </c>
      <c r="H12" s="25"/>
      <c r="I12" s="24"/>
    </row>
    <row r="13" spans="2:9" s="48" customFormat="1" ht="15.75" customHeight="1" x14ac:dyDescent="0.25">
      <c r="B13" s="41" t="str">
        <f>B60</f>
        <v>1. Mão-de-obra</v>
      </c>
      <c r="C13" s="42"/>
      <c r="D13" s="43"/>
      <c r="E13" s="43"/>
      <c r="F13" s="44">
        <f>+G211</f>
        <v>27067.0450676</v>
      </c>
      <c r="G13" s="45">
        <f t="shared" ref="G13:G37" si="0">IFERROR(F13/$F$38,0)</f>
        <v>0.43148184136311268</v>
      </c>
      <c r="H13" s="46"/>
      <c r="I13" s="47"/>
    </row>
    <row r="14" spans="2:9" s="22" customFormat="1" ht="15.75" customHeight="1" x14ac:dyDescent="0.25">
      <c r="B14" s="49" t="str">
        <f>B61</f>
        <v>1.1.  Coletor Turno Dia</v>
      </c>
      <c r="C14" s="50"/>
      <c r="D14" s="51"/>
      <c r="E14" s="51"/>
      <c r="F14" s="52">
        <f>G72</f>
        <v>17328.379647599999</v>
      </c>
      <c r="G14" s="53">
        <f t="shared" si="0"/>
        <v>0.27623558979238433</v>
      </c>
      <c r="H14" s="25"/>
      <c r="I14" s="24"/>
    </row>
    <row r="15" spans="2:9" s="22" customFormat="1" ht="15.75" hidden="1" customHeight="1" x14ac:dyDescent="0.25">
      <c r="B15" s="49" t="str">
        <f>B74</f>
        <v>1.2. Coletor Turno Noite</v>
      </c>
      <c r="C15" s="50"/>
      <c r="D15" s="51"/>
      <c r="E15" s="51"/>
      <c r="F15" s="52" t="e">
        <f>#REF!</f>
        <v>#REF!</v>
      </c>
      <c r="G15" s="53">
        <f t="shared" si="0"/>
        <v>0</v>
      </c>
      <c r="H15" s="25"/>
      <c r="I15" s="24"/>
    </row>
    <row r="16" spans="2:9" s="22" customFormat="1" ht="15.75" customHeight="1" x14ac:dyDescent="0.25">
      <c r="B16" s="49" t="str">
        <f>B90</f>
        <v>1.2. Motorista Turno do Dia</v>
      </c>
      <c r="C16" s="50"/>
      <c r="D16" s="51"/>
      <c r="E16" s="51"/>
      <c r="F16" s="52">
        <f>G103</f>
        <v>6441.4146199999996</v>
      </c>
      <c r="G16" s="53">
        <f t="shared" si="0"/>
        <v>0.10268403640956868</v>
      </c>
      <c r="H16" s="25"/>
      <c r="I16" s="24"/>
    </row>
    <row r="17" spans="2:9" s="22" customFormat="1" ht="15.75" hidden="1" customHeight="1" x14ac:dyDescent="0.25">
      <c r="B17" s="49" t="str">
        <f>B105</f>
        <v>1.4. Motorista Turno Noite</v>
      </c>
      <c r="C17" s="50"/>
      <c r="D17" s="51"/>
      <c r="E17" s="51"/>
      <c r="F17" s="52">
        <f>G124</f>
        <v>0</v>
      </c>
      <c r="G17" s="53">
        <f t="shared" si="0"/>
        <v>0</v>
      </c>
      <c r="H17" s="25"/>
      <c r="I17" s="24"/>
    </row>
    <row r="18" spans="2:9" s="22" customFormat="1" ht="15.75" hidden="1" customHeight="1" x14ac:dyDescent="0.25">
      <c r="B18" s="49" t="str">
        <f>B126</f>
        <v>1.5. Encarregado</v>
      </c>
      <c r="C18" s="50"/>
      <c r="D18" s="51"/>
      <c r="E18" s="51"/>
      <c r="F18" s="52">
        <f>G139</f>
        <v>0</v>
      </c>
      <c r="G18" s="53">
        <f t="shared" si="0"/>
        <v>0</v>
      </c>
      <c r="H18" s="25"/>
      <c r="I18" s="24"/>
    </row>
    <row r="19" spans="2:9" s="22" customFormat="1" ht="15.75" hidden="1" customHeight="1" x14ac:dyDescent="0.25">
      <c r="B19" s="49" t="str">
        <f>B141</f>
        <v>1.6. Tecnico Administrativo</v>
      </c>
      <c r="C19" s="50"/>
      <c r="D19" s="51"/>
      <c r="E19" s="51"/>
      <c r="F19" s="52">
        <f>G154</f>
        <v>0</v>
      </c>
      <c r="G19" s="53">
        <f t="shared" si="0"/>
        <v>0</v>
      </c>
      <c r="H19" s="25"/>
      <c r="I19" s="24"/>
    </row>
    <row r="20" spans="2:9" s="22" customFormat="1" ht="15.75" hidden="1" customHeight="1" x14ac:dyDescent="0.25">
      <c r="B20" s="49" t="str">
        <f>B156</f>
        <v>1.7. Responsavel Tecnico</v>
      </c>
      <c r="C20" s="50"/>
      <c r="D20" s="51"/>
      <c r="E20" s="51"/>
      <c r="F20" s="52">
        <f>G169</f>
        <v>0</v>
      </c>
      <c r="G20" s="53">
        <f t="shared" si="0"/>
        <v>0</v>
      </c>
      <c r="H20" s="25"/>
      <c r="I20" s="24"/>
    </row>
    <row r="21" spans="2:9" s="22" customFormat="1" ht="15.75" hidden="1" customHeight="1" x14ac:dyDescent="0.25">
      <c r="B21" s="49" t="str">
        <f>B171</f>
        <v>1.8. Tecnico de Segurança do Trabalho</v>
      </c>
      <c r="C21" s="50"/>
      <c r="D21" s="51"/>
      <c r="E21" s="51"/>
      <c r="F21" s="52">
        <f>G184</f>
        <v>0</v>
      </c>
      <c r="G21" s="53">
        <f t="shared" si="0"/>
        <v>0</v>
      </c>
      <c r="H21" s="25"/>
      <c r="I21" s="24"/>
    </row>
    <row r="22" spans="2:9" s="22" customFormat="1" ht="15.75" customHeight="1" x14ac:dyDescent="0.25">
      <c r="B22" s="49" t="str">
        <f>B193</f>
        <v xml:space="preserve">1.3. Vale Transporte </v>
      </c>
      <c r="C22" s="50"/>
      <c r="D22" s="51"/>
      <c r="E22" s="51"/>
      <c r="F22" s="52">
        <f>G436</f>
        <v>543.59818181818184</v>
      </c>
      <c r="G22" s="53">
        <f t="shared" si="0"/>
        <v>8.6656206418821592E-3</v>
      </c>
      <c r="H22" s="25"/>
      <c r="I22" s="24"/>
    </row>
    <row r="23" spans="2:9" s="22" customFormat="1" ht="15.75" customHeight="1" x14ac:dyDescent="0.25">
      <c r="B23" s="49" t="str">
        <f>B203</f>
        <v>1.4. Vale-refeição (diário)</v>
      </c>
      <c r="C23" s="50"/>
      <c r="D23" s="51"/>
      <c r="E23" s="51"/>
      <c r="F23" s="52">
        <f>G444</f>
        <v>8.3076923076923084</v>
      </c>
      <c r="G23" s="53">
        <f t="shared" si="0"/>
        <v>1.3243478796627606E-4</v>
      </c>
      <c r="H23" s="25"/>
      <c r="I23" s="24"/>
    </row>
    <row r="24" spans="2:9" s="22" customFormat="1" ht="15.75" hidden="1" customHeight="1" x14ac:dyDescent="0.25">
      <c r="B24" s="49" t="str">
        <f>B187</f>
        <v>1.11. Auxílio Alimentação (mensal)</v>
      </c>
      <c r="C24" s="50"/>
      <c r="D24" s="51"/>
      <c r="E24" s="51"/>
      <c r="F24" s="52">
        <f>G191</f>
        <v>0</v>
      </c>
      <c r="G24" s="53">
        <f t="shared" si="0"/>
        <v>0</v>
      </c>
      <c r="H24" s="25"/>
      <c r="I24" s="24"/>
    </row>
    <row r="25" spans="2:9" s="48" customFormat="1" ht="15.75" customHeight="1" x14ac:dyDescent="0.25">
      <c r="B25" s="562" t="str">
        <f>B213</f>
        <v>2. Uniformes e Equipamentos de Proteção Individual</v>
      </c>
      <c r="C25" s="563"/>
      <c r="D25" s="563"/>
      <c r="E25" s="43"/>
      <c r="F25" s="44">
        <f>+G243</f>
        <v>526.16499999999996</v>
      </c>
      <c r="G25" s="45">
        <f t="shared" si="0"/>
        <v>8.3877143771628072E-3</v>
      </c>
      <c r="H25" s="46"/>
      <c r="I25" s="47"/>
    </row>
    <row r="26" spans="2:9" s="48" customFormat="1" ht="15.75" customHeight="1" x14ac:dyDescent="0.25">
      <c r="B26" s="54" t="str">
        <f>B245</f>
        <v>3. Veículos e Equipamentos</v>
      </c>
      <c r="C26" s="55"/>
      <c r="D26" s="43"/>
      <c r="E26" s="43"/>
      <c r="F26" s="44">
        <f>+G393</f>
        <v>19385.821725073332</v>
      </c>
      <c r="G26" s="45">
        <f t="shared" si="0"/>
        <v>0.30903373579868043</v>
      </c>
      <c r="H26" s="46"/>
      <c r="I26" s="47"/>
    </row>
    <row r="27" spans="2:9" s="22" customFormat="1" ht="15.75" customHeight="1" x14ac:dyDescent="0.25">
      <c r="B27" s="56" t="str">
        <f>B247</f>
        <v>3.1. Veículo Coletor Compactador 15 m³ - Caminhão tipo "Truck": PTB 16,8 ton.</v>
      </c>
      <c r="C27" s="57"/>
      <c r="D27" s="51"/>
      <c r="E27" s="51"/>
      <c r="F27" s="52">
        <f>SUM(F28:F33)</f>
        <v>19385.821725073332</v>
      </c>
      <c r="G27" s="58">
        <f t="shared" si="0"/>
        <v>0.30903373579868043</v>
      </c>
      <c r="H27" s="25"/>
      <c r="I27" s="24"/>
    </row>
    <row r="28" spans="2:9" s="22" customFormat="1" ht="15.75" customHeight="1" x14ac:dyDescent="0.25">
      <c r="B28" s="56" t="str">
        <f>B249</f>
        <v>3.1.1. Depreciação</v>
      </c>
      <c r="C28" s="57"/>
      <c r="D28" s="51"/>
      <c r="E28" s="51"/>
      <c r="F28" s="52">
        <f>G263</f>
        <v>2683.2433333333338</v>
      </c>
      <c r="G28" s="58">
        <f t="shared" si="0"/>
        <v>4.277418430421305E-2</v>
      </c>
      <c r="H28" s="25"/>
      <c r="I28" s="24"/>
    </row>
    <row r="29" spans="2:9" s="22" customFormat="1" ht="15.75" customHeight="1" x14ac:dyDescent="0.25">
      <c r="B29" s="56" t="str">
        <f>B265</f>
        <v>3.1.2. Remuneração do Capital</v>
      </c>
      <c r="C29" s="57"/>
      <c r="D29" s="51"/>
      <c r="E29" s="51"/>
      <c r="F29" s="52">
        <f>G279</f>
        <v>1454.9576166666666</v>
      </c>
      <c r="G29" s="58">
        <f t="shared" si="0"/>
        <v>2.3193805972418411E-2</v>
      </c>
      <c r="H29" s="25"/>
      <c r="I29" s="24"/>
    </row>
    <row r="30" spans="2:9" s="22" customFormat="1" ht="15.75" customHeight="1" x14ac:dyDescent="0.25">
      <c r="B30" s="56" t="str">
        <f>B281</f>
        <v>3.1.3. Impostos e Seguros</v>
      </c>
      <c r="C30" s="57"/>
      <c r="D30" s="51"/>
      <c r="E30" s="51"/>
      <c r="F30" s="52">
        <f>G287</f>
        <v>695</v>
      </c>
      <c r="G30" s="58">
        <f t="shared" si="0"/>
        <v>1.1079151011808371E-2</v>
      </c>
      <c r="H30" s="25"/>
      <c r="I30" s="24"/>
    </row>
    <row r="31" spans="2:9" s="22" customFormat="1" ht="15.75" customHeight="1" x14ac:dyDescent="0.25">
      <c r="B31" s="56" t="str">
        <f>B289</f>
        <v>3.1.4. Consumos</v>
      </c>
      <c r="C31" s="57"/>
      <c r="D31" s="51"/>
      <c r="E31" s="51"/>
      <c r="F31" s="52">
        <f>G303</f>
        <v>8318.1553950733323</v>
      </c>
      <c r="G31" s="58">
        <f t="shared" si="0"/>
        <v>0.13260158239094383</v>
      </c>
      <c r="H31" s="25"/>
      <c r="I31" s="24"/>
    </row>
    <row r="32" spans="2:9" s="22" customFormat="1" ht="15.75" customHeight="1" x14ac:dyDescent="0.25">
      <c r="B32" s="56" t="str">
        <f>B305</f>
        <v>3.1.5. Manutenção</v>
      </c>
      <c r="C32" s="57"/>
      <c r="D32" s="51"/>
      <c r="E32" s="51"/>
      <c r="F32" s="52">
        <f>G308</f>
        <v>4567.8261199999997</v>
      </c>
      <c r="G32" s="58">
        <f t="shared" si="0"/>
        <v>7.2816741552752084E-2</v>
      </c>
      <c r="H32" s="25"/>
      <c r="I32" s="24"/>
    </row>
    <row r="33" spans="2:9" s="22" customFormat="1" ht="15.75" customHeight="1" x14ac:dyDescent="0.25">
      <c r="B33" s="56" t="str">
        <f>B310</f>
        <v>3.1.6. Pneus</v>
      </c>
      <c r="C33" s="57"/>
      <c r="D33" s="51"/>
      <c r="E33" s="51"/>
      <c r="F33" s="52">
        <f>G317</f>
        <v>1666.6392600000001</v>
      </c>
      <c r="G33" s="58">
        <f t="shared" si="0"/>
        <v>2.6568270566544684E-2</v>
      </c>
      <c r="H33" s="25"/>
      <c r="I33" s="24"/>
    </row>
    <row r="34" spans="2:9" s="48" customFormat="1" ht="15.75" customHeight="1" x14ac:dyDescent="0.25">
      <c r="B34" s="54" t="str">
        <f>B395</f>
        <v>4. Ferramentas e Materiais de Consumo</v>
      </c>
      <c r="C34" s="55"/>
      <c r="D34" s="43"/>
      <c r="E34" s="43"/>
      <c r="F34" s="44">
        <f>+G406</f>
        <v>110</v>
      </c>
      <c r="G34" s="45">
        <f t="shared" si="0"/>
        <v>1.7535346925164328E-3</v>
      </c>
      <c r="H34" s="46"/>
      <c r="I34" s="47"/>
    </row>
    <row r="35" spans="2:9" s="48" customFormat="1" ht="15.75" customHeight="1" x14ac:dyDescent="0.25">
      <c r="B35" s="54" t="str">
        <f>B408</f>
        <v>5. Monitoramento da Frota</v>
      </c>
      <c r="C35" s="55"/>
      <c r="D35" s="43"/>
      <c r="E35" s="43"/>
      <c r="F35" s="44">
        <f>+G419</f>
        <v>190</v>
      </c>
      <c r="G35" s="45">
        <f t="shared" si="0"/>
        <v>3.0288326507102023E-3</v>
      </c>
      <c r="H35" s="46"/>
      <c r="I35" s="47"/>
    </row>
    <row r="36" spans="2:9" s="48" customFormat="1" ht="15.75" customHeight="1" x14ac:dyDescent="0.25">
      <c r="B36" s="54" t="str">
        <f>B421</f>
        <v>6. Administração Local</v>
      </c>
      <c r="C36" s="55"/>
      <c r="D36" s="43"/>
      <c r="E36" s="43"/>
      <c r="F36" s="44">
        <f>+G461</f>
        <v>2753.2208741258742</v>
      </c>
      <c r="G36" s="45">
        <f t="shared" si="0"/>
        <v>4.3889711990364899E-2</v>
      </c>
      <c r="H36" s="46"/>
      <c r="I36" s="47"/>
    </row>
    <row r="37" spans="2:9" s="48" customFormat="1" ht="15.75" customHeight="1" thickBot="1" x14ac:dyDescent="0.3">
      <c r="B37" s="54" t="str">
        <f>B466</f>
        <v>7. Benefícios e Despesas Indiretas - BDI</v>
      </c>
      <c r="C37" s="55"/>
      <c r="D37" s="43"/>
      <c r="E37" s="43"/>
      <c r="F37" s="59">
        <f>+G471</f>
        <v>12698.185726833639</v>
      </c>
      <c r="G37" s="45">
        <f t="shared" si="0"/>
        <v>0.20242462912745254</v>
      </c>
      <c r="H37" s="46"/>
      <c r="I37" s="47"/>
    </row>
    <row r="38" spans="2:9" s="22" customFormat="1" ht="15.75" customHeight="1" thickBot="1" x14ac:dyDescent="0.3">
      <c r="B38" s="60" t="s">
        <v>190</v>
      </c>
      <c r="C38" s="61"/>
      <c r="D38" s="62"/>
      <c r="E38" s="62"/>
      <c r="F38" s="63">
        <f>F13+F25+F26+F34+F35+F37+F36</f>
        <v>62730.438393632845</v>
      </c>
      <c r="G38" s="64">
        <f>G13+G25+G26+G34+G35+G37+G36</f>
        <v>1</v>
      </c>
      <c r="H38" s="25"/>
      <c r="I38" s="24"/>
    </row>
    <row r="39" spans="2:9" x14ac:dyDescent="0.25">
      <c r="B39" s="16"/>
      <c r="C39" s="17"/>
      <c r="D39" s="17"/>
      <c r="E39" s="18"/>
      <c r="F39" s="18"/>
      <c r="G39" s="19"/>
    </row>
    <row r="40" spans="2:9" ht="13.5" thickBot="1" x14ac:dyDescent="0.3">
      <c r="B40" s="16"/>
      <c r="C40" s="17"/>
      <c r="D40" s="17"/>
      <c r="E40" s="18"/>
      <c r="F40" s="18"/>
      <c r="G40" s="19"/>
    </row>
    <row r="41" spans="2:9" s="22" customFormat="1" ht="15" customHeight="1" thickBot="1" x14ac:dyDescent="0.3">
      <c r="B41" s="540" t="s">
        <v>191</v>
      </c>
      <c r="C41" s="541"/>
      <c r="D41" s="541"/>
      <c r="E41" s="541"/>
      <c r="F41" s="542"/>
      <c r="G41" s="19"/>
      <c r="H41" s="25"/>
      <c r="I41" s="24"/>
    </row>
    <row r="42" spans="2:9" s="22" customFormat="1" ht="15" customHeight="1" thickBot="1" x14ac:dyDescent="0.3">
      <c r="B42" s="564" t="s">
        <v>140</v>
      </c>
      <c r="C42" s="565"/>
      <c r="D42" s="565"/>
      <c r="E42" s="566"/>
      <c r="F42" s="65" t="s">
        <v>192</v>
      </c>
      <c r="G42" s="19"/>
      <c r="H42" s="25"/>
      <c r="I42" s="24"/>
    </row>
    <row r="43" spans="2:9" s="22" customFormat="1" ht="15" customHeight="1" x14ac:dyDescent="0.25">
      <c r="B43" s="66" t="str">
        <f>+B61</f>
        <v>1.1.  Coletor Turno Dia</v>
      </c>
      <c r="C43" s="67"/>
      <c r="D43" s="67"/>
      <c r="E43" s="68"/>
      <c r="F43" s="69">
        <f>F54*3</f>
        <v>6</v>
      </c>
      <c r="G43" s="19"/>
      <c r="H43" s="25"/>
      <c r="I43" s="24"/>
    </row>
    <row r="44" spans="2:9" s="22" customFormat="1" ht="15" x14ac:dyDescent="0.25">
      <c r="B44" s="70" t="str">
        <f>+B74</f>
        <v>1.2. Coletor Turno Noite</v>
      </c>
      <c r="C44" s="71"/>
      <c r="D44" s="71"/>
      <c r="E44" s="72"/>
      <c r="F44" s="73">
        <v>0</v>
      </c>
      <c r="G44" s="19"/>
      <c r="H44" s="25"/>
      <c r="I44" s="24"/>
    </row>
    <row r="45" spans="2:9" s="22" customFormat="1" ht="15" x14ac:dyDescent="0.25">
      <c r="B45" s="70" t="str">
        <f>+B90</f>
        <v>1.2. Motorista Turno do Dia</v>
      </c>
      <c r="C45" s="71"/>
      <c r="D45" s="71"/>
      <c r="E45" s="72"/>
      <c r="F45" s="73">
        <f>$F$56</f>
        <v>2</v>
      </c>
      <c r="G45" s="19"/>
      <c r="H45" s="25"/>
      <c r="I45" s="24"/>
    </row>
    <row r="46" spans="2:9" s="22" customFormat="1" ht="15" x14ac:dyDescent="0.25">
      <c r="B46" s="70" t="str">
        <f>+B105</f>
        <v>1.4. Motorista Turno Noite</v>
      </c>
      <c r="C46" s="71"/>
      <c r="D46" s="71"/>
      <c r="E46" s="72"/>
      <c r="F46" s="73">
        <v>0</v>
      </c>
      <c r="G46" s="19"/>
      <c r="H46" s="25"/>
      <c r="I46" s="24"/>
    </row>
    <row r="47" spans="2:9" s="22" customFormat="1" ht="15" x14ac:dyDescent="0.25">
      <c r="B47" s="70" t="str">
        <f>+B126</f>
        <v>1.5. Encarregado</v>
      </c>
      <c r="C47" s="71"/>
      <c r="D47" s="71"/>
      <c r="E47" s="72"/>
      <c r="F47" s="73">
        <v>1</v>
      </c>
      <c r="G47" s="19"/>
      <c r="H47" s="25"/>
      <c r="I47" s="24"/>
    </row>
    <row r="48" spans="2:9" s="22" customFormat="1" ht="15" x14ac:dyDescent="0.25">
      <c r="B48" s="70" t="str">
        <f>+B141</f>
        <v>1.6. Tecnico Administrativo</v>
      </c>
      <c r="C48" s="71"/>
      <c r="D48" s="71"/>
      <c r="E48" s="72"/>
      <c r="F48" s="73">
        <v>0</v>
      </c>
      <c r="G48" s="19"/>
      <c r="H48" s="25"/>
      <c r="I48" s="24"/>
    </row>
    <row r="49" spans="2:10" s="22" customFormat="1" ht="15" x14ac:dyDescent="0.25">
      <c r="B49" s="70" t="str">
        <f>+B156</f>
        <v>1.7. Responsavel Tecnico</v>
      </c>
      <c r="C49" s="71"/>
      <c r="D49" s="71"/>
      <c r="E49" s="72"/>
      <c r="F49" s="73">
        <v>0</v>
      </c>
      <c r="G49" s="19"/>
      <c r="H49" s="25"/>
      <c r="I49" s="24"/>
    </row>
    <row r="50" spans="2:10" s="22" customFormat="1" ht="15" x14ac:dyDescent="0.25">
      <c r="B50" s="70" t="str">
        <f>+B171</f>
        <v>1.8. Tecnico de Segurança do Trabalho</v>
      </c>
      <c r="C50" s="71"/>
      <c r="D50" s="71"/>
      <c r="E50" s="72"/>
      <c r="F50" s="73">
        <v>0</v>
      </c>
      <c r="G50" s="19"/>
      <c r="H50" s="25"/>
      <c r="I50" s="24"/>
    </row>
    <row r="51" spans="2:10" s="22" customFormat="1" ht="15.75" thickBot="1" x14ac:dyDescent="0.3">
      <c r="B51" s="74" t="s">
        <v>193</v>
      </c>
      <c r="C51" s="75"/>
      <c r="D51" s="75"/>
      <c r="E51" s="76"/>
      <c r="F51" s="77">
        <f>SUM(F43:F50)</f>
        <v>9</v>
      </c>
      <c r="G51" s="19"/>
      <c r="H51" s="25"/>
      <c r="I51" s="24"/>
    </row>
    <row r="52" spans="2:10" s="22" customFormat="1" ht="15" customHeight="1" thickBot="1" x14ac:dyDescent="0.3">
      <c r="B52" s="78"/>
      <c r="C52" s="79"/>
      <c r="D52" s="18"/>
      <c r="E52" s="18"/>
      <c r="F52" s="19"/>
      <c r="G52" s="19"/>
      <c r="H52" s="25"/>
      <c r="I52" s="24"/>
    </row>
    <row r="53" spans="2:10" s="22" customFormat="1" ht="15" customHeight="1" x14ac:dyDescent="0.25">
      <c r="B53" s="567" t="s">
        <v>194</v>
      </c>
      <c r="C53" s="568"/>
      <c r="D53" s="568"/>
      <c r="E53" s="568"/>
      <c r="F53" s="65" t="s">
        <v>192</v>
      </c>
      <c r="G53" s="80"/>
      <c r="H53" s="25"/>
      <c r="I53" s="24"/>
    </row>
    <row r="54" spans="2:10" s="22" customFormat="1" ht="15" customHeight="1" x14ac:dyDescent="0.25">
      <c r="B54" s="70" t="str">
        <f>+B247</f>
        <v>3.1. Veículo Coletor Compactador 15 m³ - Caminhão tipo "Truck": PTB 16,8 ton.</v>
      </c>
      <c r="C54" s="71"/>
      <c r="D54" s="71"/>
      <c r="E54" s="72"/>
      <c r="F54" s="81">
        <v>2</v>
      </c>
      <c r="G54" s="80"/>
      <c r="H54" s="25"/>
      <c r="I54" s="24"/>
      <c r="J54" s="22" t="s">
        <v>195</v>
      </c>
    </row>
    <row r="55" spans="2:10" s="22" customFormat="1" ht="15" hidden="1" customHeight="1" x14ac:dyDescent="0.25">
      <c r="B55" s="70" t="str">
        <f>+B318</f>
        <v>3.3. Veículo Bau</v>
      </c>
      <c r="C55" s="71"/>
      <c r="D55" s="71"/>
      <c r="E55" s="72"/>
      <c r="F55" s="73">
        <f>D333</f>
        <v>0</v>
      </c>
      <c r="G55" s="80"/>
      <c r="H55" s="25"/>
      <c r="I55" s="24"/>
    </row>
    <row r="56" spans="2:10" s="22" customFormat="1" ht="15" customHeight="1" thickBot="1" x14ac:dyDescent="0.3">
      <c r="B56" s="74" t="s">
        <v>196</v>
      </c>
      <c r="C56" s="75"/>
      <c r="D56" s="75"/>
      <c r="E56" s="76"/>
      <c r="F56" s="77">
        <f>SUM(F54:F55)</f>
        <v>2</v>
      </c>
      <c r="G56" s="80"/>
      <c r="H56" s="25"/>
      <c r="I56" s="24"/>
    </row>
    <row r="57" spans="2:10" s="22" customFormat="1" ht="15.75" thickBot="1" x14ac:dyDescent="0.3">
      <c r="B57" s="82"/>
      <c r="C57" s="18"/>
      <c r="D57" s="18"/>
      <c r="E57" s="17"/>
      <c r="F57" s="83"/>
      <c r="G57" s="80"/>
      <c r="H57" s="25"/>
      <c r="I57" s="24"/>
    </row>
    <row r="58" spans="2:10" s="48" customFormat="1" ht="15.75" customHeight="1" thickBot="1" x14ac:dyDescent="0.3">
      <c r="B58" s="84" t="s">
        <v>197</v>
      </c>
      <c r="C58" s="85">
        <v>1</v>
      </c>
      <c r="D58" s="46"/>
      <c r="E58" s="47"/>
      <c r="F58" s="86"/>
      <c r="G58" s="87"/>
      <c r="H58" s="46"/>
      <c r="I58" s="47"/>
    </row>
    <row r="59" spans="2:10" s="22" customFormat="1" ht="15.75" customHeight="1" x14ac:dyDescent="0.25">
      <c r="B59" s="82"/>
      <c r="C59" s="18"/>
      <c r="D59" s="18"/>
      <c r="E59" s="17"/>
      <c r="F59" s="83"/>
      <c r="G59" s="80"/>
      <c r="H59" s="25"/>
      <c r="I59" s="24"/>
    </row>
    <row r="60" spans="2:10" ht="13.15" customHeight="1" x14ac:dyDescent="0.25">
      <c r="B60" s="88" t="s">
        <v>198</v>
      </c>
      <c r="C60" s="17"/>
      <c r="D60" s="17"/>
      <c r="E60" s="18"/>
      <c r="F60" s="18"/>
      <c r="G60" s="19"/>
    </row>
    <row r="61" spans="2:10" ht="13.9" customHeight="1" thickBot="1" x14ac:dyDescent="0.3">
      <c r="B61" s="16" t="s">
        <v>199</v>
      </c>
      <c r="C61" s="17"/>
      <c r="D61" s="17"/>
      <c r="E61" s="18"/>
      <c r="F61" s="18"/>
      <c r="G61" s="19"/>
    </row>
    <row r="62" spans="2:10" ht="13.9" customHeight="1" thickBot="1" x14ac:dyDescent="0.3">
      <c r="B62" s="89" t="s">
        <v>200</v>
      </c>
      <c r="C62" s="90" t="s">
        <v>201</v>
      </c>
      <c r="D62" s="90" t="s">
        <v>192</v>
      </c>
      <c r="E62" s="91" t="s">
        <v>202</v>
      </c>
      <c r="F62" s="91" t="s">
        <v>203</v>
      </c>
      <c r="G62" s="92" t="s">
        <v>204</v>
      </c>
    </row>
    <row r="63" spans="2:10" ht="13.15" customHeight="1" x14ac:dyDescent="0.25">
      <c r="B63" s="93" t="s">
        <v>205</v>
      </c>
      <c r="C63" s="94" t="s">
        <v>144</v>
      </c>
      <c r="D63" s="95">
        <v>1</v>
      </c>
      <c r="E63" s="96">
        <f>1172.97</f>
        <v>1172.97</v>
      </c>
      <c r="F63" s="97">
        <f>D63*E63</f>
        <v>1172.97</v>
      </c>
      <c r="G63" s="19"/>
      <c r="H63" s="98">
        <f>F63*D71</f>
        <v>7037.82</v>
      </c>
      <c r="I63" s="409">
        <f>BDI!D23</f>
        <v>0.25380000000000003</v>
      </c>
      <c r="J63" s="136">
        <f>H63*(1+I63)</f>
        <v>8824.0187160000005</v>
      </c>
    </row>
    <row r="64" spans="2:10" hidden="1" x14ac:dyDescent="0.25">
      <c r="B64" s="99" t="s">
        <v>206</v>
      </c>
      <c r="C64" s="100" t="s">
        <v>143</v>
      </c>
      <c r="D64" s="101"/>
      <c r="E64" s="102">
        <f>E63/220*2</f>
        <v>10.663363636363636</v>
      </c>
      <c r="F64" s="103">
        <f>D64*E64</f>
        <v>0</v>
      </c>
      <c r="G64" s="19"/>
    </row>
    <row r="65" spans="2:10" ht="13.15" hidden="1" customHeight="1" x14ac:dyDescent="0.25">
      <c r="B65" s="99" t="s">
        <v>207</v>
      </c>
      <c r="C65" s="100" t="s">
        <v>143</v>
      </c>
      <c r="D65" s="101"/>
      <c r="E65" s="102">
        <f>E63/220*1.5</f>
        <v>7.9975227272727274</v>
      </c>
      <c r="F65" s="103">
        <f>D65*E65</f>
        <v>0</v>
      </c>
      <c r="G65" s="19"/>
    </row>
    <row r="66" spans="2:10" ht="13.15" hidden="1" customHeight="1" x14ac:dyDescent="0.25">
      <c r="B66" s="99" t="s">
        <v>208</v>
      </c>
      <c r="C66" s="100" t="s">
        <v>209</v>
      </c>
      <c r="D66" s="104"/>
      <c r="E66" s="102">
        <f>63/302*(SUM(F64:F65))</f>
        <v>0</v>
      </c>
      <c r="F66" s="103">
        <f>E66</f>
        <v>0</v>
      </c>
      <c r="G66" s="19"/>
    </row>
    <row r="67" spans="2:10" x14ac:dyDescent="0.25">
      <c r="B67" s="99" t="s">
        <v>210</v>
      </c>
      <c r="C67" s="100" t="s">
        <v>154</v>
      </c>
      <c r="D67" s="105">
        <v>40</v>
      </c>
      <c r="E67" s="102">
        <f>F63</f>
        <v>1172.97</v>
      </c>
      <c r="F67" s="103">
        <f>D67*E67/100</f>
        <v>469.18800000000005</v>
      </c>
      <c r="G67" s="19"/>
      <c r="H67" s="18">
        <f>F67*$D$71</f>
        <v>2815.1280000000002</v>
      </c>
      <c r="J67" s="136">
        <f>H67*(1+$I$63)</f>
        <v>3529.6074864000002</v>
      </c>
    </row>
    <row r="68" spans="2:10" x14ac:dyDescent="0.25">
      <c r="B68" s="106" t="s">
        <v>211</v>
      </c>
      <c r="C68" s="107"/>
      <c r="D68" s="108"/>
      <c r="E68" s="109"/>
      <c r="F68" s="110">
        <f>SUM(F63:F67)</f>
        <v>1642.1580000000001</v>
      </c>
      <c r="G68" s="19"/>
    </row>
    <row r="69" spans="2:10" x14ac:dyDescent="0.25">
      <c r="B69" s="99" t="s">
        <v>175</v>
      </c>
      <c r="C69" s="100" t="s">
        <v>154</v>
      </c>
      <c r="D69" s="102">
        <f>'[1]2.Encargos Sociais'!$D$37*100</f>
        <v>75.87</v>
      </c>
      <c r="E69" s="102">
        <f>F68</f>
        <v>1642.1580000000001</v>
      </c>
      <c r="F69" s="103">
        <f>E69*D69/100</f>
        <v>1245.9052746000002</v>
      </c>
      <c r="G69" s="19"/>
      <c r="H69" s="18">
        <f>F69*$D$71</f>
        <v>7475.4316476000013</v>
      </c>
      <c r="J69" s="136">
        <f>H69*(1+$I$63)</f>
        <v>9372.6961997608814</v>
      </c>
    </row>
    <row r="70" spans="2:10" x14ac:dyDescent="0.25">
      <c r="B70" s="106" t="s">
        <v>212</v>
      </c>
      <c r="C70" s="107"/>
      <c r="D70" s="108"/>
      <c r="E70" s="109"/>
      <c r="F70" s="110">
        <f>F68+F69</f>
        <v>2888.0632746000001</v>
      </c>
      <c r="G70" s="19"/>
    </row>
    <row r="71" spans="2:10" ht="15.75" thickBot="1" x14ac:dyDescent="0.3">
      <c r="B71" s="99" t="s">
        <v>213</v>
      </c>
      <c r="C71" s="100" t="s">
        <v>214</v>
      </c>
      <c r="D71" s="111">
        <f>$F$43</f>
        <v>6</v>
      </c>
      <c r="E71" s="102">
        <f>F70</f>
        <v>2888.0632746000001</v>
      </c>
      <c r="F71" s="103">
        <f>D71*E71</f>
        <v>17328.379647599999</v>
      </c>
      <c r="G71" s="19"/>
      <c r="H71" s="25"/>
    </row>
    <row r="72" spans="2:10" ht="15.75" thickBot="1" x14ac:dyDescent="0.3">
      <c r="B72" s="16"/>
      <c r="C72" s="17"/>
      <c r="D72" s="17"/>
      <c r="E72" s="112" t="s">
        <v>215</v>
      </c>
      <c r="F72" s="113">
        <f>$C$58</f>
        <v>1</v>
      </c>
      <c r="G72" s="114">
        <f>F71*F72</f>
        <v>17328.379647599999</v>
      </c>
      <c r="H72" s="25"/>
      <c r="J72" s="147">
        <f>SUM(J63:J71)</f>
        <v>21726.322402160884</v>
      </c>
    </row>
    <row r="73" spans="2:10" x14ac:dyDescent="0.25">
      <c r="B73" s="16"/>
      <c r="C73" s="17"/>
      <c r="D73" s="17"/>
      <c r="E73" s="18"/>
      <c r="F73" s="18"/>
      <c r="G73" s="19"/>
    </row>
    <row r="74" spans="2:10" hidden="1" x14ac:dyDescent="0.25">
      <c r="B74" s="16" t="s">
        <v>216</v>
      </c>
      <c r="C74" s="17"/>
      <c r="D74" s="17"/>
      <c r="E74" s="18"/>
      <c r="F74" s="18"/>
      <c r="G74" s="19"/>
    </row>
    <row r="75" spans="2:10" ht="13.5" hidden="1" thickBot="1" x14ac:dyDescent="0.3">
      <c r="B75" s="89" t="s">
        <v>200</v>
      </c>
      <c r="C75" s="90" t="s">
        <v>201</v>
      </c>
      <c r="D75" s="90" t="s">
        <v>192</v>
      </c>
      <c r="E75" s="91" t="s">
        <v>202</v>
      </c>
      <c r="F75" s="91" t="s">
        <v>203</v>
      </c>
      <c r="G75" s="92" t="s">
        <v>204</v>
      </c>
    </row>
    <row r="76" spans="2:10" hidden="1" x14ac:dyDescent="0.25">
      <c r="B76" s="93" t="s">
        <v>217</v>
      </c>
      <c r="C76" s="94" t="s">
        <v>144</v>
      </c>
      <c r="D76" s="94">
        <v>1</v>
      </c>
      <c r="E76" s="97">
        <f>E63</f>
        <v>1172.97</v>
      </c>
      <c r="F76" s="97">
        <f>D76*E76</f>
        <v>1172.97</v>
      </c>
      <c r="G76" s="19"/>
    </row>
    <row r="77" spans="2:10" hidden="1" x14ac:dyDescent="0.25">
      <c r="B77" s="99" t="s">
        <v>218</v>
      </c>
      <c r="C77" s="100" t="s">
        <v>219</v>
      </c>
      <c r="D77" s="115">
        <v>80</v>
      </c>
      <c r="E77" s="103"/>
      <c r="F77" s="103"/>
      <c r="G77" s="19"/>
    </row>
    <row r="78" spans="2:10" hidden="1" x14ac:dyDescent="0.25">
      <c r="B78" s="99"/>
      <c r="C78" s="100" t="s">
        <v>220</v>
      </c>
      <c r="D78" s="116">
        <f>D77*8/7</f>
        <v>91.428571428571431</v>
      </c>
      <c r="E78" s="103">
        <f>E76/220*0.2</f>
        <v>1.0663363636363636</v>
      </c>
      <c r="F78" s="103">
        <f>D77*E78</f>
        <v>85.306909090909087</v>
      </c>
      <c r="G78" s="19"/>
    </row>
    <row r="79" spans="2:10" hidden="1" x14ac:dyDescent="0.25">
      <c r="B79" s="99" t="s">
        <v>206</v>
      </c>
      <c r="C79" s="100" t="s">
        <v>143</v>
      </c>
      <c r="D79" s="115"/>
      <c r="E79" s="103">
        <f>E76/220*2</f>
        <v>10.663363636363636</v>
      </c>
      <c r="F79" s="103">
        <f>D79*E79</f>
        <v>0</v>
      </c>
      <c r="G79" s="19"/>
    </row>
    <row r="80" spans="2:10" hidden="1" x14ac:dyDescent="0.25">
      <c r="B80" s="99" t="s">
        <v>221</v>
      </c>
      <c r="C80" s="100" t="s">
        <v>219</v>
      </c>
      <c r="D80" s="115"/>
      <c r="E80" s="103"/>
      <c r="F80" s="103"/>
      <c r="G80" s="19"/>
    </row>
    <row r="81" spans="2:10" hidden="1" x14ac:dyDescent="0.25">
      <c r="B81" s="99"/>
      <c r="C81" s="100" t="s">
        <v>220</v>
      </c>
      <c r="D81" s="116">
        <f>D80*8/7</f>
        <v>0</v>
      </c>
      <c r="E81" s="103">
        <f>E76/220*2*1.2</f>
        <v>12.796036363636363</v>
      </c>
      <c r="F81" s="103">
        <f>D81*E81</f>
        <v>0</v>
      </c>
      <c r="G81" s="19"/>
    </row>
    <row r="82" spans="2:10" hidden="1" x14ac:dyDescent="0.25">
      <c r="B82" s="99" t="s">
        <v>207</v>
      </c>
      <c r="C82" s="100" t="s">
        <v>143</v>
      </c>
      <c r="D82" s="115"/>
      <c r="E82" s="103">
        <f>E76/220*1.5</f>
        <v>7.9975227272727274</v>
      </c>
      <c r="F82" s="103">
        <f>D82*E82</f>
        <v>0</v>
      </c>
      <c r="G82" s="19"/>
    </row>
    <row r="83" spans="2:10" hidden="1" x14ac:dyDescent="0.25">
      <c r="B83" s="99" t="s">
        <v>222</v>
      </c>
      <c r="C83" s="100" t="s">
        <v>219</v>
      </c>
      <c r="D83" s="115"/>
      <c r="E83" s="103"/>
      <c r="F83" s="103"/>
      <c r="G83" s="19"/>
    </row>
    <row r="84" spans="2:10" hidden="1" x14ac:dyDescent="0.25">
      <c r="B84" s="99"/>
      <c r="C84" s="100" t="s">
        <v>220</v>
      </c>
      <c r="D84" s="103">
        <f>D83*8/7</f>
        <v>0</v>
      </c>
      <c r="E84" s="103">
        <f>E76/220*1.5*1.2</f>
        <v>9.5970272727272725</v>
      </c>
      <c r="F84" s="103">
        <f>D84*E84</f>
        <v>0</v>
      </c>
      <c r="G84" s="19"/>
    </row>
    <row r="85" spans="2:10" ht="12.75" hidden="1" customHeight="1" x14ac:dyDescent="0.25">
      <c r="B85" s="99" t="s">
        <v>208</v>
      </c>
      <c r="C85" s="100" t="s">
        <v>209</v>
      </c>
      <c r="D85" s="17"/>
      <c r="E85" s="103">
        <f>63/302*(SUM(F79:F84))</f>
        <v>0</v>
      </c>
      <c r="F85" s="103">
        <f>E85</f>
        <v>0</v>
      </c>
      <c r="G85" s="19"/>
    </row>
    <row r="86" spans="2:10" hidden="1" x14ac:dyDescent="0.25">
      <c r="B86" s="99" t="s">
        <v>223</v>
      </c>
      <c r="C86" s="100" t="s">
        <v>154</v>
      </c>
      <c r="D86" s="100">
        <f>+D67</f>
        <v>40</v>
      </c>
      <c r="E86" s="102">
        <f>SUM(F76:F85)</f>
        <v>1258.2769090909092</v>
      </c>
      <c r="F86" s="103">
        <f>D86*E86/100</f>
        <v>503.31076363636367</v>
      </c>
      <c r="G86" s="19"/>
    </row>
    <row r="87" spans="2:10" hidden="1" x14ac:dyDescent="0.25">
      <c r="B87" s="106" t="s">
        <v>211</v>
      </c>
      <c r="C87" s="107"/>
      <c r="D87" s="107"/>
      <c r="E87" s="117"/>
      <c r="F87" s="110">
        <f>SUM(F76:F86)</f>
        <v>1761.5876727272728</v>
      </c>
      <c r="G87" s="19"/>
    </row>
    <row r="88" spans="2:10" hidden="1" x14ac:dyDescent="0.25">
      <c r="B88" s="99" t="s">
        <v>175</v>
      </c>
      <c r="C88" s="100" t="s">
        <v>154</v>
      </c>
      <c r="D88" s="118">
        <f>'[1]2.Encargos Sociais'!$D$37*100</f>
        <v>75.87</v>
      </c>
      <c r="E88" s="103">
        <f>F87</f>
        <v>1761.5876727272728</v>
      </c>
      <c r="F88" s="103">
        <f>E88*D88/100</f>
        <v>1336.5165672981821</v>
      </c>
      <c r="G88" s="19"/>
    </row>
    <row r="89" spans="2:10" hidden="1" x14ac:dyDescent="0.25">
      <c r="B89" s="106" t="s">
        <v>212</v>
      </c>
      <c r="C89" s="107"/>
      <c r="D89" s="107"/>
      <c r="E89" s="117"/>
      <c r="F89" s="110">
        <f>F87+F88</f>
        <v>3098.1042400254546</v>
      </c>
      <c r="G89" s="19"/>
    </row>
    <row r="90" spans="2:10" ht="13.5" thickBot="1" x14ac:dyDescent="0.3">
      <c r="B90" s="16" t="s">
        <v>224</v>
      </c>
      <c r="C90" s="17"/>
      <c r="D90" s="17"/>
      <c r="E90" s="18"/>
      <c r="F90" s="18"/>
      <c r="G90" s="19"/>
    </row>
    <row r="91" spans="2:10" s="120" customFormat="1" ht="13.15" customHeight="1" thickBot="1" x14ac:dyDescent="0.3">
      <c r="B91" s="89" t="s">
        <v>200</v>
      </c>
      <c r="C91" s="90" t="s">
        <v>201</v>
      </c>
      <c r="D91" s="90" t="s">
        <v>192</v>
      </c>
      <c r="E91" s="91" t="s">
        <v>202</v>
      </c>
      <c r="F91" s="91" t="s">
        <v>203</v>
      </c>
      <c r="G91" s="92" t="s">
        <v>204</v>
      </c>
      <c r="H91" s="18"/>
      <c r="I91" s="119"/>
    </row>
    <row r="92" spans="2:10" x14ac:dyDescent="0.25">
      <c r="B92" s="93" t="s">
        <v>225</v>
      </c>
      <c r="C92" s="94" t="s">
        <v>144</v>
      </c>
      <c r="D92" s="95">
        <v>1</v>
      </c>
      <c r="E92" s="96">
        <v>1640.5</v>
      </c>
      <c r="F92" s="97">
        <f>D92*E92</f>
        <v>1640.5</v>
      </c>
      <c r="G92" s="19"/>
      <c r="H92" s="98">
        <f>F92*D102</f>
        <v>3281</v>
      </c>
      <c r="I92" s="409">
        <f>BDI!D23</f>
        <v>0.25380000000000003</v>
      </c>
      <c r="J92" s="136">
        <f>H92*(1+I92)</f>
        <v>4113.7178000000004</v>
      </c>
    </row>
    <row r="93" spans="2:10" hidden="1" x14ac:dyDescent="0.25">
      <c r="B93" s="93" t="s">
        <v>226</v>
      </c>
      <c r="C93" s="94" t="s">
        <v>144</v>
      </c>
      <c r="D93" s="95">
        <v>1</v>
      </c>
      <c r="E93" s="96">
        <v>954</v>
      </c>
      <c r="F93" s="97"/>
      <c r="G93" s="19"/>
    </row>
    <row r="94" spans="2:10" hidden="1" x14ac:dyDescent="0.25">
      <c r="B94" s="99" t="s">
        <v>206</v>
      </c>
      <c r="C94" s="100" t="s">
        <v>143</v>
      </c>
      <c r="D94" s="101"/>
      <c r="E94" s="102">
        <f>E92/220*2</f>
        <v>14.913636363636364</v>
      </c>
      <c r="F94" s="103">
        <f>D94*E94</f>
        <v>0</v>
      </c>
      <c r="G94" s="19"/>
    </row>
    <row r="95" spans="2:10" hidden="1" x14ac:dyDescent="0.25">
      <c r="B95" s="99" t="s">
        <v>207</v>
      </c>
      <c r="C95" s="100" t="s">
        <v>143</v>
      </c>
      <c r="D95" s="101"/>
      <c r="E95" s="102">
        <f>E92/220*1.5</f>
        <v>11.185227272727273</v>
      </c>
      <c r="F95" s="103">
        <f>D95*E95</f>
        <v>0</v>
      </c>
      <c r="G95" s="19"/>
    </row>
    <row r="96" spans="2:10" ht="13.15" hidden="1" customHeight="1" x14ac:dyDescent="0.25">
      <c r="B96" s="99" t="s">
        <v>208</v>
      </c>
      <c r="C96" s="100" t="s">
        <v>209</v>
      </c>
      <c r="D96" s="104"/>
      <c r="E96" s="102">
        <f>63/302*(SUM(F94:F95))</f>
        <v>0</v>
      </c>
      <c r="F96" s="103">
        <f>E96</f>
        <v>0</v>
      </c>
      <c r="G96" s="19"/>
    </row>
    <row r="97" spans="2:12" hidden="1" x14ac:dyDescent="0.25">
      <c r="B97" s="99" t="s">
        <v>227</v>
      </c>
      <c r="C97" s="100"/>
      <c r="D97" s="121">
        <v>1</v>
      </c>
      <c r="E97" s="102"/>
      <c r="F97" s="103"/>
      <c r="G97" s="19"/>
    </row>
    <row r="98" spans="2:12" x14ac:dyDescent="0.25">
      <c r="B98" s="99" t="s">
        <v>223</v>
      </c>
      <c r="C98" s="100" t="s">
        <v>154</v>
      </c>
      <c r="D98" s="105">
        <v>20</v>
      </c>
      <c r="E98" s="102">
        <f>IF(D97=2,SUM(F92:F96),IF(D97=1,(SUM(F92:F96))*E93/E92,0))</f>
        <v>954</v>
      </c>
      <c r="F98" s="103">
        <f>D98*E98/100</f>
        <v>190.8</v>
      </c>
      <c r="G98" s="19"/>
      <c r="H98" s="18">
        <f>F98*D102</f>
        <v>381.6</v>
      </c>
      <c r="J98" s="149">
        <f>H98*(1+I92)</f>
        <v>478.45008000000001</v>
      </c>
    </row>
    <row r="99" spans="2:12" s="48" customFormat="1" x14ac:dyDescent="0.25">
      <c r="B99" s="122" t="s">
        <v>211</v>
      </c>
      <c r="C99" s="107"/>
      <c r="D99" s="108"/>
      <c r="E99" s="109"/>
      <c r="F99" s="123">
        <f>SUM(F92:F98)</f>
        <v>1831.3</v>
      </c>
      <c r="G99" s="124"/>
      <c r="H99" s="46"/>
      <c r="I99" s="47"/>
    </row>
    <row r="100" spans="2:12" x14ac:dyDescent="0.25">
      <c r="B100" s="99" t="s">
        <v>175</v>
      </c>
      <c r="C100" s="100" t="s">
        <v>154</v>
      </c>
      <c r="D100" s="102">
        <f>'[1]2.Encargos Sociais'!$D$37*100</f>
        <v>75.87</v>
      </c>
      <c r="E100" s="102">
        <f>F99</f>
        <v>1831.3</v>
      </c>
      <c r="F100" s="103">
        <f>E100*D100/100</f>
        <v>1389.4073100000001</v>
      </c>
      <c r="G100" s="19"/>
      <c r="H100" s="18">
        <f>F100*D102</f>
        <v>2778.8146200000001</v>
      </c>
      <c r="J100" s="149">
        <f>H100*(1+I92)</f>
        <v>3484.0777705560004</v>
      </c>
      <c r="L100" s="147">
        <f>F100*2</f>
        <v>2778.8146200000001</v>
      </c>
    </row>
    <row r="101" spans="2:12" s="48" customFormat="1" x14ac:dyDescent="0.25">
      <c r="B101" s="122" t="s">
        <v>228</v>
      </c>
      <c r="C101" s="125"/>
      <c r="D101" s="126"/>
      <c r="E101" s="127"/>
      <c r="F101" s="123">
        <f>F99+F100</f>
        <v>3220.7073099999998</v>
      </c>
      <c r="G101" s="124"/>
      <c r="H101" s="46"/>
      <c r="I101" s="47"/>
    </row>
    <row r="102" spans="2:12" ht="13.5" thickBot="1" x14ac:dyDescent="0.3">
      <c r="B102" s="99" t="s">
        <v>213</v>
      </c>
      <c r="C102" s="100" t="s">
        <v>214</v>
      </c>
      <c r="D102" s="111">
        <f>$F$45</f>
        <v>2</v>
      </c>
      <c r="E102" s="102">
        <f>F101</f>
        <v>3220.7073099999998</v>
      </c>
      <c r="F102" s="103">
        <f>D102*E102</f>
        <v>6441.4146199999996</v>
      </c>
      <c r="G102" s="19"/>
    </row>
    <row r="103" spans="2:12" ht="13.5" thickBot="1" x14ac:dyDescent="0.3">
      <c r="B103" s="16"/>
      <c r="C103" s="17"/>
      <c r="D103" s="17"/>
      <c r="E103" s="112" t="s">
        <v>215</v>
      </c>
      <c r="F103" s="113">
        <f>$C$58</f>
        <v>1</v>
      </c>
      <c r="G103" s="114">
        <f>F102*F103</f>
        <v>6441.4146199999996</v>
      </c>
      <c r="J103" s="147">
        <f>SUM(J92:J102)</f>
        <v>8076.2456505560003</v>
      </c>
    </row>
    <row r="104" spans="2:12" x14ac:dyDescent="0.25">
      <c r="B104" s="16"/>
      <c r="C104" s="17"/>
      <c r="D104" s="17"/>
      <c r="E104" s="112"/>
      <c r="F104" s="128"/>
      <c r="G104" s="129"/>
    </row>
    <row r="105" spans="2:12" hidden="1" x14ac:dyDescent="0.25">
      <c r="B105" s="16" t="s">
        <v>229</v>
      </c>
      <c r="C105" s="17"/>
      <c r="D105" s="17"/>
      <c r="E105" s="18"/>
      <c r="F105" s="18"/>
      <c r="G105" s="19"/>
    </row>
    <row r="106" spans="2:12" ht="13.5" hidden="1" thickBot="1" x14ac:dyDescent="0.3">
      <c r="B106" s="89" t="s">
        <v>200</v>
      </c>
      <c r="C106" s="90" t="s">
        <v>201</v>
      </c>
      <c r="D106" s="90" t="s">
        <v>192</v>
      </c>
      <c r="E106" s="91" t="s">
        <v>202</v>
      </c>
      <c r="F106" s="91" t="s">
        <v>203</v>
      </c>
      <c r="G106" s="92" t="s">
        <v>204</v>
      </c>
    </row>
    <row r="107" spans="2:12" hidden="1" x14ac:dyDescent="0.25">
      <c r="B107" s="93" t="s">
        <v>217</v>
      </c>
      <c r="C107" s="94" t="s">
        <v>144</v>
      </c>
      <c r="D107" s="94">
        <v>1</v>
      </c>
      <c r="E107" s="97">
        <f>E92</f>
        <v>1640.5</v>
      </c>
      <c r="F107" s="97">
        <f>D107*E107</f>
        <v>1640.5</v>
      </c>
      <c r="G107" s="19"/>
    </row>
    <row r="108" spans="2:12" hidden="1" x14ac:dyDescent="0.25">
      <c r="B108" s="93" t="s">
        <v>230</v>
      </c>
      <c r="C108" s="94" t="s">
        <v>144</v>
      </c>
      <c r="D108" s="94">
        <v>1</v>
      </c>
      <c r="E108" s="103">
        <f>E93</f>
        <v>954</v>
      </c>
      <c r="F108" s="103"/>
      <c r="G108" s="19"/>
    </row>
    <row r="109" spans="2:12" hidden="1" x14ac:dyDescent="0.25">
      <c r="B109" s="99" t="s">
        <v>218</v>
      </c>
      <c r="C109" s="100" t="s">
        <v>219</v>
      </c>
      <c r="D109" s="115">
        <v>80</v>
      </c>
      <c r="E109" s="130"/>
      <c r="F109" s="130"/>
      <c r="G109" s="19"/>
    </row>
    <row r="110" spans="2:12" hidden="1" x14ac:dyDescent="0.25">
      <c r="B110" s="99"/>
      <c r="C110" s="100" t="s">
        <v>220</v>
      </c>
      <c r="D110" s="103">
        <f>D109*8/7</f>
        <v>91.428571428571431</v>
      </c>
      <c r="E110" s="103">
        <f>E107/220*0.2</f>
        <v>1.4913636363636364</v>
      </c>
      <c r="F110" s="103">
        <f>D109*E110</f>
        <v>119.30909090909091</v>
      </c>
      <c r="G110" s="19"/>
    </row>
    <row r="111" spans="2:12" hidden="1" x14ac:dyDescent="0.25">
      <c r="B111" s="99" t="s">
        <v>206</v>
      </c>
      <c r="C111" s="100" t="s">
        <v>143</v>
      </c>
      <c r="D111" s="115"/>
      <c r="E111" s="103">
        <f>E107/220*2</f>
        <v>14.913636363636364</v>
      </c>
      <c r="F111" s="103">
        <f>D111*E111</f>
        <v>0</v>
      </c>
      <c r="G111" s="19"/>
    </row>
    <row r="112" spans="2:12" hidden="1" x14ac:dyDescent="0.25">
      <c r="B112" s="99" t="s">
        <v>221</v>
      </c>
      <c r="C112" s="100" t="s">
        <v>219</v>
      </c>
      <c r="D112" s="115"/>
      <c r="E112" s="103"/>
      <c r="F112" s="103"/>
      <c r="G112" s="19"/>
    </row>
    <row r="113" spans="2:9" hidden="1" x14ac:dyDescent="0.25">
      <c r="B113" s="99"/>
      <c r="C113" s="100" t="s">
        <v>220</v>
      </c>
      <c r="D113" s="103">
        <f>D112*8/7</f>
        <v>0</v>
      </c>
      <c r="E113" s="103">
        <f>E107/220*2*1.2</f>
        <v>17.896363636363635</v>
      </c>
      <c r="F113" s="103">
        <f>D113*E113</f>
        <v>0</v>
      </c>
      <c r="G113" s="19"/>
    </row>
    <row r="114" spans="2:9" hidden="1" x14ac:dyDescent="0.25">
      <c r="B114" s="99" t="s">
        <v>207</v>
      </c>
      <c r="C114" s="100" t="s">
        <v>143</v>
      </c>
      <c r="D114" s="115"/>
      <c r="E114" s="103">
        <f>E107/220*1.5</f>
        <v>11.185227272727273</v>
      </c>
      <c r="F114" s="103">
        <f>D114*E114</f>
        <v>0</v>
      </c>
      <c r="G114" s="19"/>
    </row>
    <row r="115" spans="2:9" hidden="1" x14ac:dyDescent="0.25">
      <c r="B115" s="99" t="s">
        <v>222</v>
      </c>
      <c r="C115" s="100" t="s">
        <v>219</v>
      </c>
      <c r="D115" s="115"/>
      <c r="E115" s="103"/>
      <c r="F115" s="103"/>
      <c r="G115" s="19"/>
    </row>
    <row r="116" spans="2:9" hidden="1" x14ac:dyDescent="0.25">
      <c r="B116" s="99"/>
      <c r="C116" s="100" t="s">
        <v>220</v>
      </c>
      <c r="D116" s="103">
        <f>D115*8/7</f>
        <v>0</v>
      </c>
      <c r="E116" s="103">
        <f>E107/220*1.5*1.2</f>
        <v>13.422272727272727</v>
      </c>
      <c r="F116" s="103">
        <f>D116*E116</f>
        <v>0</v>
      </c>
      <c r="G116" s="19"/>
    </row>
    <row r="117" spans="2:9" ht="13.15" hidden="1" customHeight="1" x14ac:dyDescent="0.25">
      <c r="B117" s="99" t="s">
        <v>208</v>
      </c>
      <c r="C117" s="100" t="s">
        <v>209</v>
      </c>
      <c r="D117" s="17"/>
      <c r="E117" s="103">
        <f>63/302*(SUM(F111:F116))</f>
        <v>0</v>
      </c>
      <c r="F117" s="103">
        <f>E117</f>
        <v>0</v>
      </c>
      <c r="G117" s="19"/>
    </row>
    <row r="118" spans="2:9" hidden="1" x14ac:dyDescent="0.25">
      <c r="B118" s="99" t="s">
        <v>227</v>
      </c>
      <c r="C118" s="100"/>
      <c r="D118" s="131">
        <v>1</v>
      </c>
      <c r="E118" s="103"/>
      <c r="F118" s="103"/>
      <c r="G118" s="19"/>
    </row>
    <row r="119" spans="2:9" hidden="1" x14ac:dyDescent="0.25">
      <c r="B119" s="99" t="s">
        <v>223</v>
      </c>
      <c r="C119" s="100" t="s">
        <v>154</v>
      </c>
      <c r="D119" s="102">
        <f>+D98</f>
        <v>20</v>
      </c>
      <c r="E119" s="102">
        <f>IF(D118=2,SUM(F107:F117),IF(D118=1,SUM(F107:F117)*E108/E107,0))</f>
        <v>1023.3818181818181</v>
      </c>
      <c r="F119" s="103">
        <f>D119*E119/100</f>
        <v>204.67636363636359</v>
      </c>
      <c r="G119" s="19"/>
    </row>
    <row r="120" spans="2:9" s="48" customFormat="1" hidden="1" x14ac:dyDescent="0.25">
      <c r="B120" s="106" t="s">
        <v>211</v>
      </c>
      <c r="C120" s="107"/>
      <c r="D120" s="107"/>
      <c r="E120" s="117"/>
      <c r="F120" s="110">
        <f>SUM(F107:F119)</f>
        <v>1964.4854545454546</v>
      </c>
      <c r="G120" s="124"/>
      <c r="H120" s="46"/>
      <c r="I120" s="47"/>
    </row>
    <row r="121" spans="2:9" hidden="1" x14ac:dyDescent="0.25">
      <c r="B121" s="99" t="s">
        <v>175</v>
      </c>
      <c r="C121" s="100" t="s">
        <v>154</v>
      </c>
      <c r="D121" s="118">
        <f>'[1]2.Encargos Sociais'!$D$37*100</f>
        <v>75.87</v>
      </c>
      <c r="E121" s="103">
        <f>F120</f>
        <v>1964.4854545454546</v>
      </c>
      <c r="F121" s="103">
        <f>E121*D121/100</f>
        <v>1490.4551143636365</v>
      </c>
      <c r="G121" s="19"/>
    </row>
    <row r="122" spans="2:9" s="48" customFormat="1" hidden="1" x14ac:dyDescent="0.25">
      <c r="B122" s="106" t="s">
        <v>228</v>
      </c>
      <c r="C122" s="107"/>
      <c r="D122" s="107"/>
      <c r="E122" s="117"/>
      <c r="F122" s="110">
        <f>F120+F121</f>
        <v>3454.9405689090909</v>
      </c>
      <c r="G122" s="124"/>
      <c r="H122" s="46"/>
      <c r="I122" s="47"/>
    </row>
    <row r="123" spans="2:9" hidden="1" x14ac:dyDescent="0.25">
      <c r="B123" s="99" t="s">
        <v>213</v>
      </c>
      <c r="C123" s="100" t="s">
        <v>214</v>
      </c>
      <c r="D123" s="132"/>
      <c r="E123" s="103">
        <f>F122</f>
        <v>3454.9405689090909</v>
      </c>
      <c r="F123" s="103">
        <f>D123*E123</f>
        <v>0</v>
      </c>
      <c r="G123" s="19"/>
    </row>
    <row r="124" spans="2:9" ht="13.5" hidden="1" thickBot="1" x14ac:dyDescent="0.3">
      <c r="B124" s="16"/>
      <c r="C124" s="17"/>
      <c r="D124" s="17"/>
      <c r="E124" s="112" t="s">
        <v>215</v>
      </c>
      <c r="F124" s="133">
        <f>$C$58</f>
        <v>1</v>
      </c>
      <c r="G124" s="114">
        <f>F123*F124</f>
        <v>0</v>
      </c>
    </row>
    <row r="125" spans="2:9" hidden="1" x14ac:dyDescent="0.25">
      <c r="B125" s="16"/>
      <c r="C125" s="17"/>
      <c r="D125" s="17"/>
      <c r="E125" s="112"/>
      <c r="F125" s="18"/>
      <c r="G125" s="134"/>
    </row>
    <row r="126" spans="2:9" hidden="1" x14ac:dyDescent="0.25">
      <c r="B126" s="16" t="s">
        <v>231</v>
      </c>
      <c r="C126" s="17"/>
      <c r="D126" s="17"/>
      <c r="E126" s="18"/>
      <c r="F126" s="18"/>
      <c r="G126" s="19"/>
    </row>
    <row r="127" spans="2:9" ht="13.5" hidden="1" thickBot="1" x14ac:dyDescent="0.3">
      <c r="B127" s="89" t="s">
        <v>200</v>
      </c>
      <c r="C127" s="90" t="s">
        <v>201</v>
      </c>
      <c r="D127" s="90" t="s">
        <v>192</v>
      </c>
      <c r="E127" s="91" t="s">
        <v>202</v>
      </c>
      <c r="F127" s="91" t="s">
        <v>203</v>
      </c>
      <c r="G127" s="92" t="s">
        <v>204</v>
      </c>
    </row>
    <row r="128" spans="2:9" hidden="1" x14ac:dyDescent="0.25">
      <c r="B128" s="93" t="s">
        <v>225</v>
      </c>
      <c r="C128" s="94" t="s">
        <v>144</v>
      </c>
      <c r="D128" s="94">
        <v>1</v>
      </c>
      <c r="E128" s="135">
        <v>2000</v>
      </c>
      <c r="F128" s="97">
        <f>D128*E128</f>
        <v>2000</v>
      </c>
      <c r="G128" s="19"/>
    </row>
    <row r="129" spans="1:14" hidden="1" x14ac:dyDescent="0.25">
      <c r="B129" s="93" t="s">
        <v>226</v>
      </c>
      <c r="C129" s="94" t="s">
        <v>144</v>
      </c>
      <c r="D129" s="94">
        <v>1</v>
      </c>
      <c r="E129" s="135"/>
      <c r="F129" s="97"/>
      <c r="G129" s="19"/>
    </row>
    <row r="130" spans="1:14" hidden="1" x14ac:dyDescent="0.25">
      <c r="B130" s="99" t="s">
        <v>206</v>
      </c>
      <c r="C130" s="100" t="s">
        <v>143</v>
      </c>
      <c r="D130" s="115"/>
      <c r="E130" s="103">
        <f>E128/220*2</f>
        <v>18.181818181818183</v>
      </c>
      <c r="F130" s="103">
        <f>D130*E130</f>
        <v>0</v>
      </c>
      <c r="G130" s="19"/>
    </row>
    <row r="131" spans="1:14" hidden="1" x14ac:dyDescent="0.25">
      <c r="B131" s="99" t="s">
        <v>207</v>
      </c>
      <c r="C131" s="100" t="s">
        <v>143</v>
      </c>
      <c r="D131" s="115"/>
      <c r="E131" s="103">
        <f>E128/220*1.5</f>
        <v>13.636363636363637</v>
      </c>
      <c r="F131" s="103">
        <f>D131*E131</f>
        <v>0</v>
      </c>
      <c r="G131" s="19"/>
    </row>
    <row r="132" spans="1:14" hidden="1" x14ac:dyDescent="0.25">
      <c r="B132" s="99" t="s">
        <v>208</v>
      </c>
      <c r="C132" s="100" t="s">
        <v>209</v>
      </c>
      <c r="D132" s="17"/>
      <c r="E132" s="103">
        <f>63/302*(SUM(F130:F131))</f>
        <v>0</v>
      </c>
      <c r="F132" s="103">
        <f>E132</f>
        <v>0</v>
      </c>
      <c r="G132" s="19"/>
    </row>
    <row r="133" spans="1:14" hidden="1" x14ac:dyDescent="0.25">
      <c r="B133" s="99" t="s">
        <v>227</v>
      </c>
      <c r="C133" s="100"/>
      <c r="D133" s="131">
        <v>1</v>
      </c>
      <c r="E133" s="103"/>
      <c r="F133" s="103"/>
      <c r="G133" s="19"/>
    </row>
    <row r="134" spans="1:14" s="136" customFormat="1" hidden="1" x14ac:dyDescent="0.25">
      <c r="A134" s="15"/>
      <c r="B134" s="99" t="s">
        <v>223</v>
      </c>
      <c r="C134" s="100" t="s">
        <v>154</v>
      </c>
      <c r="D134" s="132">
        <v>20</v>
      </c>
      <c r="E134" s="102">
        <f>IF(D133=2,SUM(F128:F132),IF(D133=1,(SUM(F128:F132))*E129/E128,0))</f>
        <v>0</v>
      </c>
      <c r="F134" s="103">
        <f>D134*E134/100</f>
        <v>0</v>
      </c>
      <c r="G134" s="19"/>
      <c r="H134" s="18"/>
      <c r="I134" s="17"/>
      <c r="J134" s="15"/>
      <c r="K134" s="15"/>
      <c r="L134" s="15"/>
      <c r="M134" s="15"/>
      <c r="N134" s="15"/>
    </row>
    <row r="135" spans="1:14" s="136" customFormat="1" hidden="1" x14ac:dyDescent="0.25">
      <c r="A135" s="15"/>
      <c r="B135" s="122" t="s">
        <v>211</v>
      </c>
      <c r="C135" s="107"/>
      <c r="D135" s="107"/>
      <c r="E135" s="117"/>
      <c r="F135" s="123">
        <f>SUM(F128:F134)</f>
        <v>2000</v>
      </c>
      <c r="G135" s="124"/>
      <c r="H135" s="18"/>
      <c r="I135" s="17"/>
      <c r="J135" s="15"/>
      <c r="K135" s="15"/>
      <c r="L135" s="15"/>
      <c r="M135" s="15"/>
      <c r="N135" s="15"/>
    </row>
    <row r="136" spans="1:14" s="136" customFormat="1" hidden="1" x14ac:dyDescent="0.25">
      <c r="A136" s="15"/>
      <c r="B136" s="99" t="s">
        <v>175</v>
      </c>
      <c r="C136" s="100" t="s">
        <v>154</v>
      </c>
      <c r="D136" s="118">
        <f>'[1]2.Encargos Sociais'!$D$37*100</f>
        <v>75.87</v>
      </c>
      <c r="E136" s="103">
        <f>F135</f>
        <v>2000</v>
      </c>
      <c r="F136" s="103">
        <f>E136*D136/100</f>
        <v>1517.4</v>
      </c>
      <c r="G136" s="19"/>
      <c r="H136" s="18"/>
      <c r="I136" s="17"/>
      <c r="J136" s="15"/>
      <c r="K136" s="15"/>
      <c r="L136" s="15"/>
      <c r="M136" s="15"/>
      <c r="N136" s="15"/>
    </row>
    <row r="137" spans="1:14" s="136" customFormat="1" hidden="1" x14ac:dyDescent="0.25">
      <c r="A137" s="15"/>
      <c r="B137" s="122" t="s">
        <v>228</v>
      </c>
      <c r="C137" s="125"/>
      <c r="D137" s="125"/>
      <c r="E137" s="137"/>
      <c r="F137" s="123">
        <f>F135+F136</f>
        <v>3517.4</v>
      </c>
      <c r="G137" s="124"/>
      <c r="H137" s="18"/>
      <c r="I137" s="17"/>
      <c r="J137" s="15"/>
      <c r="K137" s="15"/>
      <c r="L137" s="15"/>
      <c r="M137" s="15"/>
      <c r="N137" s="15"/>
    </row>
    <row r="138" spans="1:14" s="136" customFormat="1" hidden="1" x14ac:dyDescent="0.25">
      <c r="A138" s="15"/>
      <c r="B138" s="99" t="s">
        <v>213</v>
      </c>
      <c r="C138" s="100" t="s">
        <v>214</v>
      </c>
      <c r="D138" s="132"/>
      <c r="E138" s="103">
        <f>F137</f>
        <v>3517.4</v>
      </c>
      <c r="F138" s="103">
        <f>D138*E138</f>
        <v>0</v>
      </c>
      <c r="G138" s="19"/>
      <c r="H138" s="18"/>
      <c r="I138" s="17"/>
      <c r="J138" s="15"/>
      <c r="K138" s="15"/>
      <c r="L138" s="15"/>
      <c r="M138" s="15"/>
      <c r="N138" s="15"/>
    </row>
    <row r="139" spans="1:14" s="136" customFormat="1" ht="13.5" hidden="1" thickBot="1" x14ac:dyDescent="0.3">
      <c r="A139" s="15"/>
      <c r="B139" s="16"/>
      <c r="C139" s="17"/>
      <c r="D139" s="17"/>
      <c r="E139" s="112" t="s">
        <v>215</v>
      </c>
      <c r="F139" s="133">
        <f>$C$58</f>
        <v>1</v>
      </c>
      <c r="G139" s="114">
        <f>F138*F139</f>
        <v>0</v>
      </c>
      <c r="H139" s="18"/>
      <c r="I139" s="17"/>
      <c r="J139" s="15"/>
      <c r="K139" s="15"/>
      <c r="L139" s="15"/>
      <c r="M139" s="15"/>
      <c r="N139" s="15"/>
    </row>
    <row r="140" spans="1:14" s="136" customFormat="1" hidden="1" x14ac:dyDescent="0.25">
      <c r="A140" s="15"/>
      <c r="B140" s="16"/>
      <c r="C140" s="17"/>
      <c r="D140" s="17"/>
      <c r="E140" s="112"/>
      <c r="F140" s="18"/>
      <c r="G140" s="134"/>
      <c r="H140" s="18"/>
      <c r="I140" s="17"/>
      <c r="J140" s="15"/>
      <c r="K140" s="15"/>
      <c r="L140" s="15"/>
      <c r="M140" s="15"/>
      <c r="N140" s="15"/>
    </row>
    <row r="141" spans="1:14" s="136" customFormat="1" hidden="1" x14ac:dyDescent="0.25">
      <c r="A141" s="15"/>
      <c r="B141" s="16" t="s">
        <v>232</v>
      </c>
      <c r="C141" s="17"/>
      <c r="D141" s="17"/>
      <c r="E141" s="18"/>
      <c r="F141" s="18"/>
      <c r="G141" s="19"/>
      <c r="H141" s="18"/>
      <c r="I141" s="17"/>
      <c r="J141" s="15"/>
      <c r="K141" s="15"/>
      <c r="L141" s="15"/>
      <c r="M141" s="15"/>
      <c r="N141" s="15"/>
    </row>
    <row r="142" spans="1:14" s="136" customFormat="1" ht="13.5" hidden="1" thickBot="1" x14ac:dyDescent="0.3">
      <c r="A142" s="15"/>
      <c r="B142" s="89" t="s">
        <v>200</v>
      </c>
      <c r="C142" s="90" t="s">
        <v>201</v>
      </c>
      <c r="D142" s="90" t="s">
        <v>192</v>
      </c>
      <c r="E142" s="91" t="s">
        <v>202</v>
      </c>
      <c r="F142" s="91" t="s">
        <v>203</v>
      </c>
      <c r="G142" s="92" t="s">
        <v>204</v>
      </c>
      <c r="H142" s="18"/>
      <c r="I142" s="17"/>
      <c r="J142" s="15"/>
      <c r="K142" s="15"/>
      <c r="L142" s="15"/>
      <c r="M142" s="15"/>
      <c r="N142" s="15"/>
    </row>
    <row r="143" spans="1:14" s="136" customFormat="1" hidden="1" x14ac:dyDescent="0.25">
      <c r="A143" s="15"/>
      <c r="B143" s="93" t="s">
        <v>225</v>
      </c>
      <c r="C143" s="94" t="s">
        <v>144</v>
      </c>
      <c r="D143" s="94">
        <v>1</v>
      </c>
      <c r="E143" s="135">
        <v>1700</v>
      </c>
      <c r="F143" s="97">
        <f>D143*E143</f>
        <v>1700</v>
      </c>
      <c r="G143" s="19"/>
      <c r="H143" s="18"/>
      <c r="I143" s="17"/>
      <c r="J143" s="15"/>
      <c r="K143" s="15"/>
      <c r="L143" s="15"/>
      <c r="M143" s="15"/>
      <c r="N143" s="15"/>
    </row>
    <row r="144" spans="1:14" s="136" customFormat="1" hidden="1" x14ac:dyDescent="0.25">
      <c r="A144" s="15"/>
      <c r="B144" s="93" t="s">
        <v>226</v>
      </c>
      <c r="C144" s="94" t="s">
        <v>144</v>
      </c>
      <c r="D144" s="94">
        <v>1</v>
      </c>
      <c r="E144" s="135"/>
      <c r="F144" s="97"/>
      <c r="G144" s="19"/>
      <c r="H144" s="18"/>
      <c r="I144" s="17"/>
      <c r="J144" s="15"/>
      <c r="K144" s="15"/>
      <c r="L144" s="15"/>
      <c r="M144" s="15"/>
      <c r="N144" s="15"/>
    </row>
    <row r="145" spans="1:14" s="136" customFormat="1" hidden="1" x14ac:dyDescent="0.25">
      <c r="A145" s="15"/>
      <c r="B145" s="99" t="s">
        <v>206</v>
      </c>
      <c r="C145" s="100" t="s">
        <v>143</v>
      </c>
      <c r="D145" s="115"/>
      <c r="E145" s="103">
        <f>E143/220*2</f>
        <v>15.454545454545455</v>
      </c>
      <c r="F145" s="103">
        <f>D145*E145</f>
        <v>0</v>
      </c>
      <c r="G145" s="19"/>
      <c r="H145" s="18"/>
      <c r="I145" s="17"/>
      <c r="J145" s="15"/>
      <c r="K145" s="15"/>
      <c r="L145" s="15"/>
      <c r="M145" s="15"/>
      <c r="N145" s="15"/>
    </row>
    <row r="146" spans="1:14" s="136" customFormat="1" hidden="1" x14ac:dyDescent="0.25">
      <c r="A146" s="15"/>
      <c r="B146" s="99" t="s">
        <v>207</v>
      </c>
      <c r="C146" s="100" t="s">
        <v>143</v>
      </c>
      <c r="D146" s="115"/>
      <c r="E146" s="103">
        <f>E143/220*1.5</f>
        <v>11.590909090909092</v>
      </c>
      <c r="F146" s="103">
        <f>D146*E146</f>
        <v>0</v>
      </c>
      <c r="G146" s="19"/>
      <c r="H146" s="18"/>
      <c r="I146" s="17"/>
      <c r="J146" s="15"/>
      <c r="K146" s="15"/>
      <c r="L146" s="15"/>
      <c r="M146" s="15"/>
      <c r="N146" s="15"/>
    </row>
    <row r="147" spans="1:14" s="136" customFormat="1" hidden="1" x14ac:dyDescent="0.25">
      <c r="A147" s="15"/>
      <c r="B147" s="99" t="s">
        <v>208</v>
      </c>
      <c r="C147" s="100" t="s">
        <v>209</v>
      </c>
      <c r="D147" s="17"/>
      <c r="E147" s="103">
        <f>63/302*(SUM(F145:F146))</f>
        <v>0</v>
      </c>
      <c r="F147" s="103">
        <f>E147</f>
        <v>0</v>
      </c>
      <c r="G147" s="19"/>
      <c r="H147" s="18"/>
      <c r="I147" s="17"/>
      <c r="J147" s="15"/>
      <c r="K147" s="15"/>
      <c r="L147" s="15"/>
      <c r="M147" s="15"/>
      <c r="N147" s="15"/>
    </row>
    <row r="148" spans="1:14" s="136" customFormat="1" hidden="1" x14ac:dyDescent="0.25">
      <c r="A148" s="15"/>
      <c r="B148" s="99" t="s">
        <v>227</v>
      </c>
      <c r="C148" s="100"/>
      <c r="D148" s="131">
        <v>1</v>
      </c>
      <c r="E148" s="103"/>
      <c r="F148" s="103"/>
      <c r="G148" s="19"/>
      <c r="H148" s="18"/>
      <c r="I148" s="17"/>
      <c r="J148" s="15"/>
      <c r="K148" s="15"/>
      <c r="L148" s="15"/>
      <c r="M148" s="15"/>
      <c r="N148" s="15"/>
    </row>
    <row r="149" spans="1:14" s="136" customFormat="1" hidden="1" x14ac:dyDescent="0.25">
      <c r="A149" s="15"/>
      <c r="B149" s="99" t="s">
        <v>223</v>
      </c>
      <c r="C149" s="100" t="s">
        <v>154</v>
      </c>
      <c r="D149" s="132">
        <v>20</v>
      </c>
      <c r="E149" s="102">
        <f>IF(D148=2,SUM(F143:F147),IF(D148=1,(SUM(F143:F147))*E144/E143,0))</f>
        <v>0</v>
      </c>
      <c r="F149" s="103">
        <f>D149*E149/100</f>
        <v>0</v>
      </c>
      <c r="G149" s="19"/>
      <c r="H149" s="18"/>
      <c r="I149" s="17"/>
      <c r="J149" s="15"/>
      <c r="K149" s="15"/>
      <c r="L149" s="15"/>
      <c r="M149" s="15"/>
      <c r="N149" s="15"/>
    </row>
    <row r="150" spans="1:14" s="136" customFormat="1" hidden="1" x14ac:dyDescent="0.25">
      <c r="A150" s="15"/>
      <c r="B150" s="122" t="s">
        <v>211</v>
      </c>
      <c r="C150" s="107"/>
      <c r="D150" s="107"/>
      <c r="E150" s="117"/>
      <c r="F150" s="123">
        <f>SUM(F143:F149)</f>
        <v>1700</v>
      </c>
      <c r="G150" s="124"/>
      <c r="H150" s="18"/>
      <c r="I150" s="17"/>
      <c r="J150" s="15"/>
      <c r="K150" s="15"/>
      <c r="L150" s="15"/>
      <c r="M150" s="15"/>
      <c r="N150" s="15"/>
    </row>
    <row r="151" spans="1:14" s="136" customFormat="1" hidden="1" x14ac:dyDescent="0.25">
      <c r="A151" s="15"/>
      <c r="B151" s="99" t="s">
        <v>175</v>
      </c>
      <c r="C151" s="100" t="s">
        <v>154</v>
      </c>
      <c r="D151" s="118">
        <f>'[1]2.Encargos Sociais'!$D$37*100</f>
        <v>75.87</v>
      </c>
      <c r="E151" s="103">
        <f>F150</f>
        <v>1700</v>
      </c>
      <c r="F151" s="103">
        <f>E151*D151/100</f>
        <v>1289.7900000000002</v>
      </c>
      <c r="G151" s="19"/>
      <c r="H151" s="18"/>
      <c r="I151" s="17"/>
      <c r="J151" s="15"/>
      <c r="K151" s="15"/>
      <c r="L151" s="15"/>
      <c r="M151" s="15"/>
      <c r="N151" s="15"/>
    </row>
    <row r="152" spans="1:14" s="136" customFormat="1" hidden="1" x14ac:dyDescent="0.25">
      <c r="A152" s="15"/>
      <c r="B152" s="122" t="s">
        <v>228</v>
      </c>
      <c r="C152" s="125"/>
      <c r="D152" s="125"/>
      <c r="E152" s="137"/>
      <c r="F152" s="123">
        <f>F150+F151</f>
        <v>2989.79</v>
      </c>
      <c r="G152" s="124"/>
      <c r="H152" s="18"/>
      <c r="I152" s="17"/>
      <c r="J152" s="15"/>
      <c r="K152" s="15"/>
      <c r="L152" s="15"/>
      <c r="M152" s="15"/>
      <c r="N152" s="15"/>
    </row>
    <row r="153" spans="1:14" s="136" customFormat="1" hidden="1" x14ac:dyDescent="0.25">
      <c r="A153" s="15"/>
      <c r="B153" s="99" t="s">
        <v>213</v>
      </c>
      <c r="C153" s="100" t="s">
        <v>214</v>
      </c>
      <c r="D153" s="132"/>
      <c r="E153" s="103">
        <f>F152</f>
        <v>2989.79</v>
      </c>
      <c r="F153" s="103">
        <f>D153*E153</f>
        <v>0</v>
      </c>
      <c r="G153" s="19"/>
      <c r="H153" s="18"/>
      <c r="I153" s="17"/>
      <c r="J153" s="15"/>
      <c r="K153" s="15"/>
      <c r="L153" s="15"/>
      <c r="M153" s="15"/>
      <c r="N153" s="15"/>
    </row>
    <row r="154" spans="1:14" s="136" customFormat="1" ht="13.5" hidden="1" thickBot="1" x14ac:dyDescent="0.3">
      <c r="A154" s="15"/>
      <c r="B154" s="16"/>
      <c r="C154" s="17"/>
      <c r="D154" s="17"/>
      <c r="E154" s="112" t="s">
        <v>215</v>
      </c>
      <c r="F154" s="133">
        <f>$C$58</f>
        <v>1</v>
      </c>
      <c r="G154" s="114">
        <f>F153*F154</f>
        <v>0</v>
      </c>
      <c r="H154" s="18"/>
      <c r="I154" s="17"/>
      <c r="J154" s="15"/>
      <c r="K154" s="15"/>
      <c r="L154" s="15"/>
      <c r="M154" s="15"/>
      <c r="N154" s="15"/>
    </row>
    <row r="155" spans="1:14" s="136" customFormat="1" hidden="1" x14ac:dyDescent="0.25">
      <c r="A155" s="15"/>
      <c r="B155" s="16"/>
      <c r="C155" s="17"/>
      <c r="D155" s="17"/>
      <c r="E155" s="112"/>
      <c r="F155" s="18"/>
      <c r="G155" s="134"/>
      <c r="H155" s="18"/>
      <c r="I155" s="17"/>
      <c r="J155" s="15"/>
      <c r="K155" s="15"/>
      <c r="L155" s="15"/>
      <c r="M155" s="15"/>
      <c r="N155" s="15"/>
    </row>
    <row r="156" spans="1:14" s="136" customFormat="1" hidden="1" x14ac:dyDescent="0.25">
      <c r="A156" s="15"/>
      <c r="B156" s="16" t="s">
        <v>233</v>
      </c>
      <c r="C156" s="17"/>
      <c r="D156" s="17"/>
      <c r="E156" s="18"/>
      <c r="F156" s="18"/>
      <c r="G156" s="19"/>
      <c r="H156" s="18"/>
      <c r="I156" s="17"/>
      <c r="J156" s="15"/>
      <c r="K156" s="15"/>
      <c r="L156" s="15"/>
      <c r="M156" s="15"/>
      <c r="N156" s="15"/>
    </row>
    <row r="157" spans="1:14" s="136" customFormat="1" ht="13.5" hidden="1" thickBot="1" x14ac:dyDescent="0.3">
      <c r="A157" s="15"/>
      <c r="B157" s="89" t="s">
        <v>200</v>
      </c>
      <c r="C157" s="90" t="s">
        <v>201</v>
      </c>
      <c r="D157" s="90" t="s">
        <v>192</v>
      </c>
      <c r="E157" s="91" t="s">
        <v>202</v>
      </c>
      <c r="F157" s="91" t="s">
        <v>203</v>
      </c>
      <c r="G157" s="92" t="s">
        <v>204</v>
      </c>
      <c r="H157" s="18"/>
      <c r="I157" s="17"/>
      <c r="J157" s="15"/>
      <c r="K157" s="15"/>
      <c r="L157" s="15"/>
      <c r="M157" s="15"/>
      <c r="N157" s="15"/>
    </row>
    <row r="158" spans="1:14" s="136" customFormat="1" hidden="1" x14ac:dyDescent="0.25">
      <c r="A158" s="15"/>
      <c r="B158" s="93" t="s">
        <v>225</v>
      </c>
      <c r="C158" s="94" t="s">
        <v>144</v>
      </c>
      <c r="D158" s="94">
        <v>1</v>
      </c>
      <c r="E158" s="135">
        <v>3500</v>
      </c>
      <c r="F158" s="97">
        <f>D158*E158</f>
        <v>3500</v>
      </c>
      <c r="G158" s="19"/>
      <c r="H158" s="18"/>
      <c r="I158" s="17"/>
      <c r="J158" s="15"/>
      <c r="K158" s="15"/>
      <c r="L158" s="15"/>
      <c r="M158" s="15"/>
      <c r="N158" s="15"/>
    </row>
    <row r="159" spans="1:14" s="136" customFormat="1" hidden="1" x14ac:dyDescent="0.25">
      <c r="A159" s="15"/>
      <c r="B159" s="93" t="s">
        <v>226</v>
      </c>
      <c r="C159" s="94" t="s">
        <v>144</v>
      </c>
      <c r="D159" s="94">
        <v>1</v>
      </c>
      <c r="E159" s="135"/>
      <c r="F159" s="97"/>
      <c r="G159" s="19"/>
      <c r="H159" s="18"/>
      <c r="I159" s="17"/>
      <c r="J159" s="15"/>
      <c r="K159" s="15"/>
      <c r="L159" s="15"/>
      <c r="M159" s="15"/>
      <c r="N159" s="15"/>
    </row>
    <row r="160" spans="1:14" s="136" customFormat="1" hidden="1" x14ac:dyDescent="0.25">
      <c r="A160" s="15"/>
      <c r="B160" s="99" t="s">
        <v>206</v>
      </c>
      <c r="C160" s="100" t="s">
        <v>143</v>
      </c>
      <c r="D160" s="115"/>
      <c r="E160" s="103">
        <f>E158/220*2</f>
        <v>31.818181818181817</v>
      </c>
      <c r="F160" s="103">
        <f>D160*E160</f>
        <v>0</v>
      </c>
      <c r="G160" s="19"/>
      <c r="H160" s="18"/>
      <c r="I160" s="17"/>
      <c r="J160" s="15"/>
      <c r="K160" s="15"/>
      <c r="L160" s="15"/>
      <c r="M160" s="15"/>
      <c r="N160" s="15"/>
    </row>
    <row r="161" spans="1:14" s="136" customFormat="1" hidden="1" x14ac:dyDescent="0.25">
      <c r="A161" s="15"/>
      <c r="B161" s="99" t="s">
        <v>207</v>
      </c>
      <c r="C161" s="100" t="s">
        <v>143</v>
      </c>
      <c r="D161" s="115"/>
      <c r="E161" s="103">
        <f>E158/220*1.5</f>
        <v>23.863636363636363</v>
      </c>
      <c r="F161" s="103">
        <f>D161*E161</f>
        <v>0</v>
      </c>
      <c r="G161" s="19"/>
      <c r="H161" s="18"/>
      <c r="I161" s="17"/>
      <c r="J161" s="15"/>
      <c r="K161" s="15"/>
      <c r="L161" s="15"/>
      <c r="M161" s="15"/>
      <c r="N161" s="15"/>
    </row>
    <row r="162" spans="1:14" s="136" customFormat="1" hidden="1" x14ac:dyDescent="0.25">
      <c r="A162" s="15"/>
      <c r="B162" s="99" t="s">
        <v>208</v>
      </c>
      <c r="C162" s="100" t="s">
        <v>209</v>
      </c>
      <c r="D162" s="17"/>
      <c r="E162" s="103">
        <f>63/302*(SUM(F160:F161))</f>
        <v>0</v>
      </c>
      <c r="F162" s="103">
        <f>E162</f>
        <v>0</v>
      </c>
      <c r="G162" s="19"/>
      <c r="H162" s="18"/>
      <c r="I162" s="17"/>
      <c r="J162" s="15"/>
      <c r="K162" s="15"/>
      <c r="L162" s="15"/>
      <c r="M162" s="15"/>
      <c r="N162" s="15"/>
    </row>
    <row r="163" spans="1:14" s="136" customFormat="1" hidden="1" x14ac:dyDescent="0.25">
      <c r="A163" s="15"/>
      <c r="B163" s="99" t="s">
        <v>227</v>
      </c>
      <c r="C163" s="100"/>
      <c r="D163" s="131">
        <v>1</v>
      </c>
      <c r="E163" s="103"/>
      <c r="F163" s="103"/>
      <c r="G163" s="19"/>
      <c r="H163" s="18"/>
      <c r="I163" s="17"/>
      <c r="J163" s="15"/>
      <c r="K163" s="15"/>
      <c r="L163" s="15"/>
      <c r="M163" s="15"/>
      <c r="N163" s="15"/>
    </row>
    <row r="164" spans="1:14" s="136" customFormat="1" hidden="1" x14ac:dyDescent="0.25">
      <c r="A164" s="15"/>
      <c r="B164" s="99" t="s">
        <v>223</v>
      </c>
      <c r="C164" s="100" t="s">
        <v>154</v>
      </c>
      <c r="D164" s="132">
        <v>20</v>
      </c>
      <c r="E164" s="102">
        <f>IF(D163=2,SUM(F158:F162),IF(D163=1,(SUM(F158:F162))*E159/E158,0))</f>
        <v>0</v>
      </c>
      <c r="F164" s="103">
        <f>D164*E164/100</f>
        <v>0</v>
      </c>
      <c r="G164" s="19"/>
      <c r="H164" s="18"/>
      <c r="I164" s="17"/>
      <c r="J164" s="15"/>
      <c r="K164" s="15"/>
      <c r="L164" s="15"/>
      <c r="M164" s="15"/>
      <c r="N164" s="15"/>
    </row>
    <row r="165" spans="1:14" s="136" customFormat="1" hidden="1" x14ac:dyDescent="0.25">
      <c r="A165" s="15"/>
      <c r="B165" s="122" t="s">
        <v>211</v>
      </c>
      <c r="C165" s="107"/>
      <c r="D165" s="107"/>
      <c r="E165" s="117"/>
      <c r="F165" s="123">
        <f>SUM(F158:F164)</f>
        <v>3500</v>
      </c>
      <c r="G165" s="124"/>
      <c r="H165" s="18"/>
      <c r="I165" s="17"/>
      <c r="J165" s="15"/>
      <c r="K165" s="15"/>
      <c r="L165" s="15"/>
      <c r="M165" s="15"/>
      <c r="N165" s="15"/>
    </row>
    <row r="166" spans="1:14" s="136" customFormat="1" hidden="1" x14ac:dyDescent="0.25">
      <c r="A166" s="15"/>
      <c r="B166" s="99" t="s">
        <v>175</v>
      </c>
      <c r="C166" s="100" t="s">
        <v>154</v>
      </c>
      <c r="D166" s="118">
        <f>'[1]2.Encargos Sociais'!$D$37*100</f>
        <v>75.87</v>
      </c>
      <c r="E166" s="103">
        <f>F165</f>
        <v>3500</v>
      </c>
      <c r="F166" s="103">
        <f>E166*D166/100</f>
        <v>2655.45</v>
      </c>
      <c r="G166" s="19"/>
      <c r="H166" s="18"/>
      <c r="I166" s="17"/>
      <c r="J166" s="15"/>
      <c r="K166" s="15"/>
      <c r="L166" s="15"/>
      <c r="M166" s="15"/>
      <c r="N166" s="15"/>
    </row>
    <row r="167" spans="1:14" s="136" customFormat="1" hidden="1" x14ac:dyDescent="0.25">
      <c r="A167" s="15"/>
      <c r="B167" s="122" t="s">
        <v>228</v>
      </c>
      <c r="C167" s="125"/>
      <c r="D167" s="125"/>
      <c r="E167" s="137"/>
      <c r="F167" s="123">
        <f>F165+F166</f>
        <v>6155.45</v>
      </c>
      <c r="G167" s="124"/>
      <c r="H167" s="18"/>
      <c r="I167" s="17"/>
      <c r="J167" s="15"/>
      <c r="K167" s="15"/>
      <c r="L167" s="15"/>
      <c r="M167" s="15"/>
      <c r="N167" s="15"/>
    </row>
    <row r="168" spans="1:14" s="136" customFormat="1" hidden="1" x14ac:dyDescent="0.25">
      <c r="A168" s="15"/>
      <c r="B168" s="99" t="s">
        <v>213</v>
      </c>
      <c r="C168" s="100" t="s">
        <v>214</v>
      </c>
      <c r="D168" s="132"/>
      <c r="E168" s="103">
        <f>F167</f>
        <v>6155.45</v>
      </c>
      <c r="F168" s="103">
        <f>D168*E168</f>
        <v>0</v>
      </c>
      <c r="G168" s="19"/>
      <c r="H168" s="18"/>
      <c r="I168" s="17"/>
      <c r="J168" s="15"/>
      <c r="K168" s="15"/>
      <c r="L168" s="15"/>
      <c r="M168" s="15"/>
      <c r="N168" s="15"/>
    </row>
    <row r="169" spans="1:14" s="136" customFormat="1" ht="13.5" hidden="1" thickBot="1" x14ac:dyDescent="0.3">
      <c r="A169" s="15"/>
      <c r="B169" s="16"/>
      <c r="C169" s="17"/>
      <c r="D169" s="17"/>
      <c r="E169" s="112" t="s">
        <v>215</v>
      </c>
      <c r="F169" s="133">
        <v>0.33</v>
      </c>
      <c r="G169" s="114">
        <f>F168*F169</f>
        <v>0</v>
      </c>
      <c r="H169" s="18"/>
      <c r="I169" s="17"/>
      <c r="J169" s="15"/>
      <c r="K169" s="15"/>
      <c r="L169" s="15"/>
      <c r="M169" s="15"/>
      <c r="N169" s="15"/>
    </row>
    <row r="170" spans="1:14" s="136" customFormat="1" hidden="1" x14ac:dyDescent="0.25">
      <c r="A170" s="15"/>
      <c r="B170" s="16"/>
      <c r="C170" s="17"/>
      <c r="D170" s="17"/>
      <c r="E170" s="112"/>
      <c r="F170" s="18"/>
      <c r="G170" s="134"/>
      <c r="H170" s="18"/>
      <c r="I170" s="17"/>
      <c r="J170" s="15"/>
      <c r="K170" s="15"/>
      <c r="L170" s="15"/>
      <c r="M170" s="15"/>
      <c r="N170" s="15"/>
    </row>
    <row r="171" spans="1:14" s="136" customFormat="1" hidden="1" x14ac:dyDescent="0.25">
      <c r="A171" s="15"/>
      <c r="B171" s="16" t="s">
        <v>234</v>
      </c>
      <c r="C171" s="17"/>
      <c r="D171" s="17"/>
      <c r="E171" s="18"/>
      <c r="F171" s="18"/>
      <c r="G171" s="19"/>
      <c r="H171" s="18"/>
      <c r="I171" s="17"/>
      <c r="J171" s="15"/>
      <c r="K171" s="15"/>
      <c r="L171" s="15"/>
      <c r="M171" s="15"/>
      <c r="N171" s="15"/>
    </row>
    <row r="172" spans="1:14" s="136" customFormat="1" ht="13.5" hidden="1" thickBot="1" x14ac:dyDescent="0.3">
      <c r="A172" s="15"/>
      <c r="B172" s="89" t="s">
        <v>200</v>
      </c>
      <c r="C172" s="90" t="s">
        <v>201</v>
      </c>
      <c r="D172" s="90" t="s">
        <v>192</v>
      </c>
      <c r="E172" s="91" t="s">
        <v>202</v>
      </c>
      <c r="F172" s="91" t="s">
        <v>203</v>
      </c>
      <c r="G172" s="92" t="s">
        <v>204</v>
      </c>
      <c r="H172" s="18"/>
      <c r="I172" s="17"/>
      <c r="J172" s="15"/>
      <c r="K172" s="15"/>
      <c r="L172" s="15"/>
      <c r="M172" s="15"/>
      <c r="N172" s="15"/>
    </row>
    <row r="173" spans="1:14" s="136" customFormat="1" hidden="1" x14ac:dyDescent="0.25">
      <c r="A173" s="15"/>
      <c r="B173" s="93" t="s">
        <v>225</v>
      </c>
      <c r="C173" s="94" t="s">
        <v>144</v>
      </c>
      <c r="D173" s="94">
        <v>1</v>
      </c>
      <c r="E173" s="135">
        <v>2000</v>
      </c>
      <c r="F173" s="97">
        <f>D173*E173</f>
        <v>2000</v>
      </c>
      <c r="G173" s="19"/>
      <c r="H173" s="18"/>
      <c r="I173" s="17"/>
      <c r="J173" s="15"/>
      <c r="K173" s="15"/>
      <c r="L173" s="15"/>
      <c r="M173" s="15"/>
      <c r="N173" s="15"/>
    </row>
    <row r="174" spans="1:14" s="136" customFormat="1" hidden="1" x14ac:dyDescent="0.25">
      <c r="A174" s="15"/>
      <c r="B174" s="93" t="s">
        <v>226</v>
      </c>
      <c r="C174" s="94" t="s">
        <v>144</v>
      </c>
      <c r="D174" s="94">
        <v>1</v>
      </c>
      <c r="E174" s="135"/>
      <c r="F174" s="97"/>
      <c r="G174" s="19"/>
      <c r="H174" s="18"/>
      <c r="I174" s="17"/>
      <c r="J174" s="15"/>
      <c r="K174" s="15"/>
      <c r="L174" s="15"/>
      <c r="M174" s="15"/>
      <c r="N174" s="15"/>
    </row>
    <row r="175" spans="1:14" s="136" customFormat="1" hidden="1" x14ac:dyDescent="0.25">
      <c r="A175" s="15"/>
      <c r="B175" s="99" t="s">
        <v>206</v>
      </c>
      <c r="C175" s="100" t="s">
        <v>143</v>
      </c>
      <c r="D175" s="115"/>
      <c r="E175" s="103">
        <f>E173/220*2</f>
        <v>18.181818181818183</v>
      </c>
      <c r="F175" s="103">
        <f>D175*E175</f>
        <v>0</v>
      </c>
      <c r="G175" s="19"/>
      <c r="H175" s="18"/>
      <c r="I175" s="17"/>
      <c r="J175" s="15"/>
      <c r="K175" s="15"/>
      <c r="L175" s="15"/>
      <c r="M175" s="15"/>
      <c r="N175" s="15"/>
    </row>
    <row r="176" spans="1:14" s="136" customFormat="1" hidden="1" x14ac:dyDescent="0.25">
      <c r="A176" s="15"/>
      <c r="B176" s="99" t="s">
        <v>207</v>
      </c>
      <c r="C176" s="100" t="s">
        <v>143</v>
      </c>
      <c r="D176" s="115"/>
      <c r="E176" s="103">
        <f>E173/220*1.5</f>
        <v>13.636363636363637</v>
      </c>
      <c r="F176" s="103">
        <f>D176*E176</f>
        <v>0</v>
      </c>
      <c r="G176" s="19"/>
      <c r="H176" s="18"/>
      <c r="I176" s="17"/>
      <c r="J176" s="15"/>
      <c r="K176" s="15"/>
      <c r="L176" s="15"/>
      <c r="M176" s="15"/>
      <c r="N176" s="15"/>
    </row>
    <row r="177" spans="1:14" s="136" customFormat="1" hidden="1" x14ac:dyDescent="0.25">
      <c r="A177" s="15"/>
      <c r="B177" s="99" t="s">
        <v>208</v>
      </c>
      <c r="C177" s="100" t="s">
        <v>209</v>
      </c>
      <c r="D177" s="17"/>
      <c r="E177" s="103">
        <f>63/302*(SUM(F175:F176))</f>
        <v>0</v>
      </c>
      <c r="F177" s="103">
        <f>E177</f>
        <v>0</v>
      </c>
      <c r="G177" s="19"/>
      <c r="H177" s="18"/>
      <c r="I177" s="17"/>
      <c r="J177" s="15"/>
      <c r="K177" s="15"/>
      <c r="L177" s="15"/>
      <c r="M177" s="15"/>
      <c r="N177" s="15"/>
    </row>
    <row r="178" spans="1:14" s="136" customFormat="1" hidden="1" x14ac:dyDescent="0.25">
      <c r="A178" s="15"/>
      <c r="B178" s="99" t="s">
        <v>227</v>
      </c>
      <c r="C178" s="100"/>
      <c r="D178" s="131">
        <v>1</v>
      </c>
      <c r="E178" s="103"/>
      <c r="F178" s="103"/>
      <c r="G178" s="19"/>
      <c r="H178" s="18"/>
      <c r="I178" s="17"/>
      <c r="J178" s="15"/>
      <c r="K178" s="15"/>
      <c r="L178" s="15"/>
      <c r="M178" s="15"/>
      <c r="N178" s="15"/>
    </row>
    <row r="179" spans="1:14" s="136" customFormat="1" hidden="1" x14ac:dyDescent="0.25">
      <c r="A179" s="15"/>
      <c r="B179" s="99" t="s">
        <v>223</v>
      </c>
      <c r="C179" s="100" t="s">
        <v>154</v>
      </c>
      <c r="D179" s="132">
        <v>20</v>
      </c>
      <c r="E179" s="102">
        <f>IF(D178=2,SUM(F173:F177),IF(D178=1,(SUM(F173:F177))*E174/E173,0))</f>
        <v>0</v>
      </c>
      <c r="F179" s="103">
        <f>D179*E179/100</f>
        <v>0</v>
      </c>
      <c r="G179" s="19"/>
      <c r="H179" s="18"/>
      <c r="I179" s="17"/>
      <c r="J179" s="15"/>
      <c r="K179" s="15"/>
      <c r="L179" s="15"/>
      <c r="M179" s="15"/>
      <c r="N179" s="15"/>
    </row>
    <row r="180" spans="1:14" s="136" customFormat="1" hidden="1" x14ac:dyDescent="0.25">
      <c r="A180" s="15"/>
      <c r="B180" s="122" t="s">
        <v>211</v>
      </c>
      <c r="C180" s="107"/>
      <c r="D180" s="107"/>
      <c r="E180" s="117"/>
      <c r="F180" s="123">
        <f>SUM(F173:F179)</f>
        <v>2000</v>
      </c>
      <c r="G180" s="124"/>
      <c r="H180" s="18"/>
      <c r="I180" s="17"/>
      <c r="J180" s="15"/>
      <c r="K180" s="15"/>
      <c r="L180" s="15"/>
      <c r="M180" s="15"/>
      <c r="N180" s="15"/>
    </row>
    <row r="181" spans="1:14" s="136" customFormat="1" hidden="1" x14ac:dyDescent="0.25">
      <c r="A181" s="15"/>
      <c r="B181" s="99" t="s">
        <v>175</v>
      </c>
      <c r="C181" s="100" t="s">
        <v>154</v>
      </c>
      <c r="D181" s="118">
        <f>'[1]2.Encargos Sociais'!$D$37*100</f>
        <v>75.87</v>
      </c>
      <c r="E181" s="103">
        <f>F180</f>
        <v>2000</v>
      </c>
      <c r="F181" s="103">
        <f>E181*D181/100</f>
        <v>1517.4</v>
      </c>
      <c r="G181" s="19"/>
      <c r="H181" s="18"/>
      <c r="I181" s="17"/>
      <c r="J181" s="15"/>
      <c r="K181" s="15"/>
      <c r="L181" s="15"/>
      <c r="M181" s="15"/>
      <c r="N181" s="15"/>
    </row>
    <row r="182" spans="1:14" hidden="1" x14ac:dyDescent="0.25">
      <c r="B182" s="122" t="s">
        <v>228</v>
      </c>
      <c r="C182" s="125"/>
      <c r="D182" s="125"/>
      <c r="E182" s="137"/>
      <c r="F182" s="123">
        <f>F180+F181</f>
        <v>3517.4</v>
      </c>
      <c r="G182" s="124"/>
    </row>
    <row r="183" spans="1:14" hidden="1" x14ac:dyDescent="0.25">
      <c r="B183" s="99" t="s">
        <v>213</v>
      </c>
      <c r="C183" s="100" t="s">
        <v>214</v>
      </c>
      <c r="D183" s="132"/>
      <c r="E183" s="103">
        <f>F182</f>
        <v>3517.4</v>
      </c>
      <c r="F183" s="103">
        <f>D183*E183</f>
        <v>0</v>
      </c>
      <c r="G183" s="19"/>
    </row>
    <row r="184" spans="1:14" ht="13.5" hidden="1" thickBot="1" x14ac:dyDescent="0.3">
      <c r="B184" s="16"/>
      <c r="C184" s="17"/>
      <c r="D184" s="17"/>
      <c r="E184" s="112" t="s">
        <v>215</v>
      </c>
      <c r="F184" s="133">
        <v>0.33</v>
      </c>
      <c r="G184" s="114">
        <f>F183*F184</f>
        <v>0</v>
      </c>
    </row>
    <row r="185" spans="1:14" hidden="1" x14ac:dyDescent="0.25">
      <c r="B185" s="16"/>
      <c r="C185" s="17"/>
      <c r="D185" s="17"/>
      <c r="E185" s="112"/>
      <c r="F185" s="18"/>
      <c r="G185" s="134"/>
    </row>
    <row r="186" spans="1:14" ht="11.25" hidden="1" customHeight="1" x14ac:dyDescent="0.25">
      <c r="B186" s="16"/>
      <c r="C186" s="17"/>
      <c r="D186" s="17"/>
      <c r="E186" s="18"/>
      <c r="F186" s="18"/>
      <c r="G186" s="19"/>
      <c r="H186" s="17"/>
    </row>
    <row r="187" spans="1:14" hidden="1" x14ac:dyDescent="0.25">
      <c r="B187" s="16" t="s">
        <v>235</v>
      </c>
      <c r="C187" s="17"/>
      <c r="D187" s="17"/>
      <c r="E187" s="18"/>
      <c r="F187" s="18"/>
      <c r="G187" s="138"/>
      <c r="H187" s="17"/>
    </row>
    <row r="188" spans="1:14" ht="13.5" hidden="1" thickBot="1" x14ac:dyDescent="0.3">
      <c r="B188" s="89" t="s">
        <v>200</v>
      </c>
      <c r="C188" s="90" t="s">
        <v>201</v>
      </c>
      <c r="D188" s="90" t="s">
        <v>192</v>
      </c>
      <c r="E188" s="91" t="s">
        <v>202</v>
      </c>
      <c r="F188" s="91" t="s">
        <v>203</v>
      </c>
      <c r="G188" s="92" t="s">
        <v>204</v>
      </c>
      <c r="H188" s="17"/>
    </row>
    <row r="189" spans="1:14" hidden="1" x14ac:dyDescent="0.25">
      <c r="B189" s="99" t="e">
        <f>+#REF!</f>
        <v>#REF!</v>
      </c>
      <c r="C189" s="100" t="s">
        <v>0</v>
      </c>
      <c r="D189" s="139">
        <f>F43+F44</f>
        <v>6</v>
      </c>
      <c r="E189" s="140"/>
      <c r="F189" s="133">
        <f>D189*E189</f>
        <v>0</v>
      </c>
      <c r="G189" s="138"/>
      <c r="H189" s="17"/>
    </row>
    <row r="190" spans="1:14" hidden="1" x14ac:dyDescent="0.25">
      <c r="B190" s="99" t="e">
        <f>+#REF!</f>
        <v>#REF!</v>
      </c>
      <c r="C190" s="100" t="s">
        <v>0</v>
      </c>
      <c r="D190" s="139">
        <f>F45+F46</f>
        <v>2</v>
      </c>
      <c r="E190" s="140"/>
      <c r="F190" s="133">
        <f>D190*E190</f>
        <v>0</v>
      </c>
      <c r="G190" s="138"/>
      <c r="H190" s="17"/>
    </row>
    <row r="191" spans="1:14" ht="13.5" hidden="1" thickBot="1" x14ac:dyDescent="0.3">
      <c r="B191" s="16"/>
      <c r="C191" s="17"/>
      <c r="D191" s="17"/>
      <c r="E191" s="112" t="s">
        <v>215</v>
      </c>
      <c r="F191" s="133">
        <f>$C$58</f>
        <v>1</v>
      </c>
      <c r="G191" s="141">
        <f>SUM(F189:F190)*F191</f>
        <v>0</v>
      </c>
      <c r="H191" s="17"/>
    </row>
    <row r="192" spans="1:14" hidden="1" x14ac:dyDescent="0.25">
      <c r="B192" s="16"/>
      <c r="C192" s="17"/>
      <c r="D192" s="17"/>
      <c r="E192" s="18"/>
      <c r="F192" s="18"/>
      <c r="G192" s="19"/>
      <c r="H192" s="17"/>
    </row>
    <row r="193" spans="2:14" ht="13.5" thickBot="1" x14ac:dyDescent="0.3">
      <c r="B193" s="16" t="s">
        <v>236</v>
      </c>
      <c r="C193" s="142"/>
      <c r="D193" s="17"/>
      <c r="E193" s="17"/>
      <c r="F193" s="17"/>
      <c r="G193" s="19"/>
      <c r="H193" s="17"/>
    </row>
    <row r="194" spans="2:14" ht="13.5" thickBot="1" x14ac:dyDescent="0.3">
      <c r="B194" s="89" t="s">
        <v>200</v>
      </c>
      <c r="C194" s="90" t="s">
        <v>201</v>
      </c>
      <c r="D194" s="90" t="s">
        <v>192</v>
      </c>
      <c r="E194" s="91" t="s">
        <v>202</v>
      </c>
      <c r="F194" s="91" t="s">
        <v>203</v>
      </c>
      <c r="G194" s="92" t="s">
        <v>204</v>
      </c>
      <c r="H194" s="17"/>
    </row>
    <row r="195" spans="2:14" x14ac:dyDescent="0.25">
      <c r="B195" s="99" t="s">
        <v>176</v>
      </c>
      <c r="C195" s="100" t="s">
        <v>209</v>
      </c>
      <c r="D195" s="143">
        <v>1</v>
      </c>
      <c r="E195" s="144">
        <v>3</v>
      </c>
      <c r="F195" s="103"/>
      <c r="G195" s="19"/>
      <c r="H195" s="17"/>
    </row>
    <row r="196" spans="2:14" x14ac:dyDescent="0.25">
      <c r="B196" s="99" t="s">
        <v>237</v>
      </c>
      <c r="C196" s="100" t="s">
        <v>142</v>
      </c>
      <c r="D196" s="104">
        <v>26</v>
      </c>
      <c r="E196" s="102"/>
      <c r="F196" s="103"/>
      <c r="G196" s="19"/>
      <c r="H196" s="17"/>
    </row>
    <row r="197" spans="2:14" x14ac:dyDescent="0.25">
      <c r="B197" s="99" t="s">
        <v>183</v>
      </c>
      <c r="C197" s="100" t="s">
        <v>238</v>
      </c>
      <c r="D197" s="145">
        <f>$D$196*2*F43</f>
        <v>312</v>
      </c>
      <c r="E197" s="96">
        <f>IFERROR((($D$196*2*$E$195)-(F63*0.06))/($D$196*2),"-")</f>
        <v>1.6465730769230771</v>
      </c>
      <c r="F197" s="103">
        <f>IFERROR(D197*E197,"-")</f>
        <v>513.73080000000004</v>
      </c>
      <c r="G197" s="19"/>
      <c r="H197" s="410">
        <f>E197*(1+I63)</f>
        <v>2.0644733238461539</v>
      </c>
      <c r="I197" s="146"/>
      <c r="J197" s="147">
        <f>D197*H197</f>
        <v>644.11567704000004</v>
      </c>
      <c r="K197" s="148"/>
      <c r="L197" s="149"/>
      <c r="M197" s="147"/>
      <c r="N197" s="147">
        <f>E195-M197</f>
        <v>3</v>
      </c>
    </row>
    <row r="198" spans="2:14" ht="13.5" thickBot="1" x14ac:dyDescent="0.3">
      <c r="B198" s="93" t="s">
        <v>182</v>
      </c>
      <c r="C198" s="94" t="s">
        <v>238</v>
      </c>
      <c r="D198" s="145">
        <f>$D$196*2*F45</f>
        <v>104</v>
      </c>
      <c r="E198" s="96">
        <f>IFERROR((($D$196*2*$E$195)-(F92*0.06))/($D$196*2),"-")</f>
        <v>1.1071153846153847</v>
      </c>
      <c r="F198" s="97">
        <f>IFERROR(D198*E198,"-")</f>
        <v>115.14000000000001</v>
      </c>
      <c r="G198" s="19"/>
      <c r="H198" s="410">
        <f>E198*(1+I63)</f>
        <v>1.3881012692307695</v>
      </c>
      <c r="I198" s="146"/>
      <c r="J198" s="147">
        <f>D198*H198</f>
        <v>144.36253200000002</v>
      </c>
      <c r="K198" s="148"/>
      <c r="L198" s="149"/>
      <c r="M198" s="147"/>
      <c r="N198" s="147">
        <f>E195-M198</f>
        <v>3</v>
      </c>
    </row>
    <row r="199" spans="2:14" ht="13.5" hidden="1" thickBot="1" x14ac:dyDescent="0.3">
      <c r="B199" s="93" t="s">
        <v>239</v>
      </c>
      <c r="C199" s="94" t="s">
        <v>238</v>
      </c>
      <c r="D199" s="150">
        <f>$D$440*2*(D179)</f>
        <v>1040</v>
      </c>
      <c r="E199" s="97">
        <f>IFERROR((($D$440*2*$E$439)-(F169*0.06))/($D$440*2),"-")</f>
        <v>2.9996192307692309</v>
      </c>
      <c r="F199" s="97">
        <f t="shared" ref="F199:F200" si="1">IFERROR(D199*E199,"-")</f>
        <v>3119.6040000000003</v>
      </c>
      <c r="G199" s="19"/>
      <c r="H199" s="17"/>
    </row>
    <row r="200" spans="2:14" ht="13.5" hidden="1" thickBot="1" x14ac:dyDescent="0.3">
      <c r="B200" s="93" t="s">
        <v>240</v>
      </c>
      <c r="C200" s="94" t="s">
        <v>238</v>
      </c>
      <c r="D200" s="150"/>
      <c r="E200" s="97">
        <f>IFERROR((($D$440*2*$E$439)-(F434*0.06))/($D$440*2),"-")</f>
        <v>-0.44975769230769203</v>
      </c>
      <c r="F200" s="97">
        <f t="shared" si="1"/>
        <v>0</v>
      </c>
      <c r="G200" s="19"/>
      <c r="H200" s="17"/>
    </row>
    <row r="201" spans="2:14" ht="13.5" thickBot="1" x14ac:dyDescent="0.3">
      <c r="B201" s="16"/>
      <c r="C201" s="17"/>
      <c r="D201" s="17"/>
      <c r="E201" s="18"/>
      <c r="F201" s="18"/>
      <c r="G201" s="141">
        <f>SUM(F197:F198)</f>
        <v>628.87080000000003</v>
      </c>
      <c r="H201" s="151"/>
    </row>
    <row r="202" spans="2:14" ht="11.25" customHeight="1" x14ac:dyDescent="0.25">
      <c r="B202" s="16"/>
      <c r="C202" s="17"/>
      <c r="D202" s="17"/>
      <c r="E202" s="18"/>
      <c r="F202" s="18"/>
      <c r="G202" s="19"/>
      <c r="H202" s="17"/>
    </row>
    <row r="203" spans="2:14" ht="13.5" thickBot="1" x14ac:dyDescent="0.3">
      <c r="B203" s="16" t="s">
        <v>241</v>
      </c>
      <c r="C203" s="17"/>
      <c r="D203" s="17"/>
      <c r="E203" s="18"/>
      <c r="F203" s="18"/>
      <c r="G203" s="138"/>
      <c r="H203" s="17"/>
    </row>
    <row r="204" spans="2:14" ht="13.5" thickBot="1" x14ac:dyDescent="0.3">
      <c r="B204" s="89" t="s">
        <v>200</v>
      </c>
      <c r="C204" s="90" t="s">
        <v>201</v>
      </c>
      <c r="D204" s="90" t="s">
        <v>192</v>
      </c>
      <c r="E204" s="91" t="s">
        <v>202</v>
      </c>
      <c r="F204" s="91" t="s">
        <v>203</v>
      </c>
      <c r="G204" s="92" t="s">
        <v>204</v>
      </c>
      <c r="H204" s="17"/>
    </row>
    <row r="205" spans="2:14" x14ac:dyDescent="0.25">
      <c r="B205" s="99" t="str">
        <f>+B197</f>
        <v>Coletor</v>
      </c>
      <c r="C205" s="100" t="s">
        <v>0</v>
      </c>
      <c r="D205" s="145">
        <f>$D$196*(F43+F44)</f>
        <v>156</v>
      </c>
      <c r="E205" s="152">
        <f>15.55*(1-0.175)</f>
        <v>12.828749999999999</v>
      </c>
      <c r="F205" s="133">
        <f>D205*E205</f>
        <v>2001.2849999999999</v>
      </c>
      <c r="G205" s="138"/>
      <c r="H205" s="410">
        <f>E205*(1+I63)</f>
        <v>16.084686749999999</v>
      </c>
      <c r="J205" s="147">
        <f>D205*H205</f>
        <v>2509.2111329999998</v>
      </c>
      <c r="L205" s="147">
        <f>J72+J197+J205</f>
        <v>24879.649212200886</v>
      </c>
    </row>
    <row r="206" spans="2:14" ht="13.5" thickBot="1" x14ac:dyDescent="0.3">
      <c r="B206" s="99" t="str">
        <f>+B198</f>
        <v>Motorista</v>
      </c>
      <c r="C206" s="100" t="s">
        <v>0</v>
      </c>
      <c r="D206" s="145">
        <f>$D$440*(F45+F46)</f>
        <v>52</v>
      </c>
      <c r="E206" s="152">
        <f>15.55*(1-0.175)</f>
        <v>12.828749999999999</v>
      </c>
      <c r="F206" s="133">
        <f>D206*E206</f>
        <v>667.09500000000003</v>
      </c>
      <c r="G206" s="138"/>
      <c r="H206" s="410">
        <f>E206*(1+I63)</f>
        <v>16.084686749999999</v>
      </c>
      <c r="J206" s="149">
        <f>D206*H206</f>
        <v>836.40371099999993</v>
      </c>
      <c r="L206" s="147">
        <f>J103+J198+J206</f>
        <v>9057.0118935559985</v>
      </c>
    </row>
    <row r="207" spans="2:14" ht="13.5" hidden="1" thickBot="1" x14ac:dyDescent="0.3">
      <c r="B207" s="99" t="str">
        <f>+B199</f>
        <v>Tecnico Administrativo</v>
      </c>
      <c r="C207" s="100" t="s">
        <v>0</v>
      </c>
      <c r="D207" s="139">
        <f>D196*(F73)</f>
        <v>0</v>
      </c>
      <c r="E207" s="140">
        <v>16</v>
      </c>
      <c r="F207" s="133">
        <f t="shared" ref="F207:F208" si="2">D207*E207</f>
        <v>0</v>
      </c>
      <c r="G207" s="138"/>
      <c r="H207" s="17"/>
    </row>
    <row r="208" spans="2:14" ht="13.5" hidden="1" thickBot="1" x14ac:dyDescent="0.3">
      <c r="B208" s="99" t="str">
        <f>+B200</f>
        <v>Tecnico de Segurança do Trabalho</v>
      </c>
      <c r="C208" s="100" t="s">
        <v>0</v>
      </c>
      <c r="D208" s="139" t="e">
        <f>D196*(F75)</f>
        <v>#VALUE!</v>
      </c>
      <c r="E208" s="140">
        <v>16</v>
      </c>
      <c r="F208" s="133" t="e">
        <f t="shared" si="2"/>
        <v>#VALUE!</v>
      </c>
      <c r="G208" s="138"/>
      <c r="H208" s="17"/>
    </row>
    <row r="209" spans="2:9" ht="13.5" thickBot="1" x14ac:dyDescent="0.3">
      <c r="B209" s="16"/>
      <c r="C209" s="17"/>
      <c r="D209" s="17"/>
      <c r="E209" s="18"/>
      <c r="F209" s="18"/>
      <c r="G209" s="141">
        <f>SUM(F205:F206)</f>
        <v>2668.38</v>
      </c>
      <c r="H209" s="151"/>
    </row>
    <row r="210" spans="2:9" ht="13.5" thickBot="1" x14ac:dyDescent="0.3">
      <c r="B210" s="16"/>
      <c r="C210" s="17"/>
      <c r="D210" s="17"/>
      <c r="E210" s="18"/>
      <c r="F210" s="18"/>
      <c r="G210" s="19"/>
      <c r="H210" s="17"/>
    </row>
    <row r="211" spans="2:9" ht="13.5" thickBot="1" x14ac:dyDescent="0.3">
      <c r="B211" s="153" t="s">
        <v>242</v>
      </c>
      <c r="C211" s="154"/>
      <c r="D211" s="154"/>
      <c r="E211" s="62"/>
      <c r="F211" s="155"/>
      <c r="G211" s="141">
        <f>G72+G103+G201+G209</f>
        <v>27067.0450676</v>
      </c>
      <c r="H211" s="146"/>
      <c r="I211" s="151"/>
    </row>
    <row r="212" spans="2:9" x14ac:dyDescent="0.25">
      <c r="B212" s="16"/>
      <c r="C212" s="17"/>
      <c r="D212" s="17"/>
      <c r="E212" s="18"/>
      <c r="F212" s="18"/>
      <c r="G212" s="19"/>
    </row>
    <row r="213" spans="2:9" x14ac:dyDescent="0.25">
      <c r="B213" s="88" t="s">
        <v>243</v>
      </c>
      <c r="C213" s="17"/>
      <c r="D213" s="17"/>
      <c r="E213" s="18"/>
      <c r="F213" s="18"/>
      <c r="G213" s="19"/>
      <c r="H213" s="17"/>
    </row>
    <row r="214" spans="2:9" ht="11.25" customHeight="1" x14ac:dyDescent="0.25">
      <c r="B214" s="16"/>
      <c r="C214" s="17"/>
      <c r="D214" s="17"/>
      <c r="E214" s="18"/>
      <c r="F214" s="18"/>
      <c r="G214" s="19"/>
      <c r="H214" s="17"/>
    </row>
    <row r="215" spans="2:9" ht="13.9" customHeight="1" thickBot="1" x14ac:dyDescent="0.3">
      <c r="B215" s="16" t="s">
        <v>244</v>
      </c>
      <c r="C215" s="17"/>
      <c r="D215" s="17"/>
      <c r="E215" s="18"/>
      <c r="F215" s="18"/>
      <c r="G215" s="19"/>
      <c r="H215" s="17"/>
    </row>
    <row r="216" spans="2:9" ht="27.75" customHeight="1" thickBot="1" x14ac:dyDescent="0.3">
      <c r="B216" s="89" t="s">
        <v>200</v>
      </c>
      <c r="C216" s="90" t="s">
        <v>201</v>
      </c>
      <c r="D216" s="156" t="s">
        <v>245</v>
      </c>
      <c r="E216" s="91" t="s">
        <v>202</v>
      </c>
      <c r="F216" s="91" t="s">
        <v>203</v>
      </c>
      <c r="G216" s="92" t="s">
        <v>204</v>
      </c>
      <c r="H216" s="17"/>
    </row>
    <row r="217" spans="2:9" x14ac:dyDescent="0.25">
      <c r="B217" s="93" t="s">
        <v>246</v>
      </c>
      <c r="C217" s="94" t="s">
        <v>0</v>
      </c>
      <c r="D217" s="157">
        <v>12</v>
      </c>
      <c r="E217" s="96">
        <v>65</v>
      </c>
      <c r="F217" s="97">
        <f>IFERROR(E217/D217,0)</f>
        <v>5.416666666666667</v>
      </c>
      <c r="G217" s="19"/>
      <c r="H217" s="17"/>
    </row>
    <row r="218" spans="2:9" ht="13.15" customHeight="1" x14ac:dyDescent="0.25">
      <c r="B218" s="99" t="s">
        <v>247</v>
      </c>
      <c r="C218" s="100" t="s">
        <v>0</v>
      </c>
      <c r="D218" s="157">
        <v>6</v>
      </c>
      <c r="E218" s="96">
        <v>30</v>
      </c>
      <c r="F218" s="97">
        <f t="shared" ref="F218:F226" si="3">IFERROR(E218/D218,0)</f>
        <v>5</v>
      </c>
      <c r="G218" s="19"/>
      <c r="H218" s="17"/>
    </row>
    <row r="219" spans="2:9" x14ac:dyDescent="0.25">
      <c r="B219" s="99" t="s">
        <v>248</v>
      </c>
      <c r="C219" s="100" t="s">
        <v>0</v>
      </c>
      <c r="D219" s="157">
        <v>3</v>
      </c>
      <c r="E219" s="96">
        <v>25</v>
      </c>
      <c r="F219" s="97">
        <f t="shared" si="3"/>
        <v>8.3333333333333339</v>
      </c>
      <c r="G219" s="19"/>
      <c r="H219" s="17"/>
    </row>
    <row r="220" spans="2:9" ht="13.15" customHeight="1" x14ac:dyDescent="0.25">
      <c r="B220" s="99" t="s">
        <v>249</v>
      </c>
      <c r="C220" s="100" t="s">
        <v>0</v>
      </c>
      <c r="D220" s="157">
        <v>12</v>
      </c>
      <c r="E220" s="96">
        <v>12</v>
      </c>
      <c r="F220" s="97">
        <f t="shared" si="3"/>
        <v>1</v>
      </c>
      <c r="G220" s="19"/>
      <c r="H220" s="17"/>
    </row>
    <row r="221" spans="2:9" ht="13.9" customHeight="1" x14ac:dyDescent="0.25">
      <c r="B221" s="99" t="s">
        <v>250</v>
      </c>
      <c r="C221" s="100" t="s">
        <v>145</v>
      </c>
      <c r="D221" s="157">
        <v>6</v>
      </c>
      <c r="E221" s="96">
        <v>52</v>
      </c>
      <c r="F221" s="97">
        <f t="shared" si="3"/>
        <v>8.6666666666666661</v>
      </c>
      <c r="G221" s="19"/>
      <c r="H221" s="17"/>
    </row>
    <row r="222" spans="2:9" ht="13.15" customHeight="1" x14ac:dyDescent="0.25">
      <c r="B222" s="99" t="s">
        <v>251</v>
      </c>
      <c r="C222" s="100" t="s">
        <v>145</v>
      </c>
      <c r="D222" s="157">
        <v>3</v>
      </c>
      <c r="E222" s="96">
        <v>10</v>
      </c>
      <c r="F222" s="97">
        <f t="shared" si="3"/>
        <v>3.3333333333333335</v>
      </c>
      <c r="G222" s="19"/>
    </row>
    <row r="223" spans="2:9" x14ac:dyDescent="0.25">
      <c r="B223" s="99" t="s">
        <v>252</v>
      </c>
      <c r="C223" s="100" t="s">
        <v>0</v>
      </c>
      <c r="D223" s="157">
        <v>12</v>
      </c>
      <c r="E223" s="96">
        <v>56</v>
      </c>
      <c r="F223" s="97">
        <f t="shared" si="3"/>
        <v>4.666666666666667</v>
      </c>
      <c r="G223" s="19"/>
    </row>
    <row r="224" spans="2:9" s="163" customFormat="1" x14ac:dyDescent="0.2">
      <c r="B224" s="158" t="s">
        <v>253</v>
      </c>
      <c r="C224" s="159" t="s">
        <v>0</v>
      </c>
      <c r="D224" s="157">
        <v>12</v>
      </c>
      <c r="E224" s="96">
        <v>26.45</v>
      </c>
      <c r="F224" s="97">
        <f t="shared" si="3"/>
        <v>2.2041666666666666</v>
      </c>
      <c r="G224" s="160"/>
      <c r="H224" s="161"/>
      <c r="I224" s="162"/>
    </row>
    <row r="225" spans="2:8" x14ac:dyDescent="0.25">
      <c r="B225" s="99" t="s">
        <v>254</v>
      </c>
      <c r="C225" s="100" t="s">
        <v>145</v>
      </c>
      <c r="D225" s="157">
        <v>1</v>
      </c>
      <c r="E225" s="96">
        <v>18.989999999999998</v>
      </c>
      <c r="F225" s="97">
        <f t="shared" si="3"/>
        <v>18.989999999999998</v>
      </c>
      <c r="G225" s="19"/>
    </row>
    <row r="226" spans="2:8" ht="13.15" customHeight="1" x14ac:dyDescent="0.25">
      <c r="B226" s="99" t="s">
        <v>255</v>
      </c>
      <c r="C226" s="100" t="s">
        <v>256</v>
      </c>
      <c r="D226" s="157">
        <v>2</v>
      </c>
      <c r="E226" s="96">
        <v>16</v>
      </c>
      <c r="F226" s="97">
        <f t="shared" si="3"/>
        <v>8</v>
      </c>
      <c r="G226" s="19"/>
    </row>
    <row r="227" spans="2:8" x14ac:dyDescent="0.25">
      <c r="B227" s="99" t="s">
        <v>257</v>
      </c>
      <c r="C227" s="100" t="s">
        <v>258</v>
      </c>
      <c r="D227" s="121">
        <v>1</v>
      </c>
      <c r="E227" s="96">
        <v>10</v>
      </c>
      <c r="F227" s="103">
        <f t="shared" ref="F227:F228" si="4">D227*E227</f>
        <v>10</v>
      </c>
      <c r="G227" s="19"/>
    </row>
    <row r="228" spans="2:8" ht="13.5" thickBot="1" x14ac:dyDescent="0.3">
      <c r="B228" s="99" t="s">
        <v>213</v>
      </c>
      <c r="C228" s="100" t="s">
        <v>214</v>
      </c>
      <c r="D228" s="164">
        <f>F43+F44</f>
        <v>6</v>
      </c>
      <c r="E228" s="103">
        <f>+SUM(F217:F227)</f>
        <v>75.610833333333332</v>
      </c>
      <c r="F228" s="103">
        <f t="shared" si="4"/>
        <v>453.66499999999996</v>
      </c>
      <c r="G228" s="19"/>
    </row>
    <row r="229" spans="2:8" ht="13.5" thickBot="1" x14ac:dyDescent="0.3">
      <c r="B229" s="16"/>
      <c r="C229" s="17"/>
      <c r="D229" s="17"/>
      <c r="E229" s="112" t="s">
        <v>215</v>
      </c>
      <c r="F229" s="113">
        <f>$C$58</f>
        <v>1</v>
      </c>
      <c r="G229" s="114">
        <f>F228*F229</f>
        <v>453.66499999999996</v>
      </c>
    </row>
    <row r="230" spans="2:8" ht="11.25" customHeight="1" x14ac:dyDescent="0.25">
      <c r="B230" s="16"/>
      <c r="C230" s="17"/>
      <c r="D230" s="17"/>
      <c r="E230" s="18"/>
      <c r="F230" s="18"/>
      <c r="G230" s="19"/>
    </row>
    <row r="231" spans="2:8" ht="13.9" customHeight="1" thickBot="1" x14ac:dyDescent="0.3">
      <c r="B231" s="16" t="s">
        <v>259</v>
      </c>
      <c r="C231" s="17"/>
      <c r="D231" s="17"/>
      <c r="E231" s="18"/>
      <c r="F231" s="18"/>
      <c r="G231" s="19"/>
    </row>
    <row r="232" spans="2:8" ht="24.75" thickBot="1" x14ac:dyDescent="0.3">
      <c r="B232" s="89" t="s">
        <v>200</v>
      </c>
      <c r="C232" s="90" t="s">
        <v>201</v>
      </c>
      <c r="D232" s="156" t="s">
        <v>245</v>
      </c>
      <c r="E232" s="91" t="s">
        <v>202</v>
      </c>
      <c r="F232" s="91" t="s">
        <v>203</v>
      </c>
      <c r="G232" s="92" t="s">
        <v>204</v>
      </c>
    </row>
    <row r="233" spans="2:8" x14ac:dyDescent="0.25">
      <c r="B233" s="93" t="s">
        <v>246</v>
      </c>
      <c r="C233" s="94" t="s">
        <v>0</v>
      </c>
      <c r="D233" s="157">
        <v>12</v>
      </c>
      <c r="E233" s="97">
        <f>+E217</f>
        <v>65</v>
      </c>
      <c r="F233" s="97">
        <f t="shared" ref="F233:F238" si="5">IFERROR(E233/D233,0)</f>
        <v>5.416666666666667</v>
      </c>
      <c r="G233" s="19"/>
    </row>
    <row r="234" spans="2:8" x14ac:dyDescent="0.25">
      <c r="B234" s="99" t="s">
        <v>247</v>
      </c>
      <c r="C234" s="100" t="s">
        <v>0</v>
      </c>
      <c r="D234" s="157">
        <v>6</v>
      </c>
      <c r="E234" s="103">
        <f>+E218</f>
        <v>30</v>
      </c>
      <c r="F234" s="97">
        <f t="shared" si="5"/>
        <v>5</v>
      </c>
      <c r="G234" s="19"/>
    </row>
    <row r="235" spans="2:8" x14ac:dyDescent="0.25">
      <c r="B235" s="99" t="s">
        <v>248</v>
      </c>
      <c r="C235" s="100" t="s">
        <v>0</v>
      </c>
      <c r="D235" s="157">
        <v>6</v>
      </c>
      <c r="E235" s="103">
        <f>+E219</f>
        <v>25</v>
      </c>
      <c r="F235" s="97">
        <f t="shared" si="5"/>
        <v>4.166666666666667</v>
      </c>
      <c r="G235" s="19"/>
    </row>
    <row r="236" spans="2:8" x14ac:dyDescent="0.25">
      <c r="B236" s="99" t="s">
        <v>250</v>
      </c>
      <c r="C236" s="100" t="s">
        <v>145</v>
      </c>
      <c r="D236" s="157">
        <v>12</v>
      </c>
      <c r="E236" s="103">
        <f>+E221</f>
        <v>52</v>
      </c>
      <c r="F236" s="97">
        <f t="shared" si="5"/>
        <v>4.333333333333333</v>
      </c>
      <c r="G236" s="19"/>
    </row>
    <row r="237" spans="2:8" x14ac:dyDescent="0.25">
      <c r="B237" s="99" t="s">
        <v>252</v>
      </c>
      <c r="C237" s="100" t="s">
        <v>0</v>
      </c>
      <c r="D237" s="157">
        <v>12</v>
      </c>
      <c r="E237" s="103">
        <f>+E223</f>
        <v>56</v>
      </c>
      <c r="F237" s="97">
        <f t="shared" si="5"/>
        <v>4.666666666666667</v>
      </c>
      <c r="G237" s="19"/>
      <c r="H237" s="17"/>
    </row>
    <row r="238" spans="2:8" x14ac:dyDescent="0.25">
      <c r="B238" s="99" t="s">
        <v>255</v>
      </c>
      <c r="C238" s="100" t="s">
        <v>256</v>
      </c>
      <c r="D238" s="157">
        <v>6</v>
      </c>
      <c r="E238" s="103">
        <f>+E226</f>
        <v>16</v>
      </c>
      <c r="F238" s="97">
        <f t="shared" si="5"/>
        <v>2.6666666666666665</v>
      </c>
      <c r="G238" s="19"/>
      <c r="H238" s="17"/>
    </row>
    <row r="239" spans="2:8" x14ac:dyDescent="0.25">
      <c r="B239" s="99" t="s">
        <v>257</v>
      </c>
      <c r="C239" s="100" t="s">
        <v>258</v>
      </c>
      <c r="D239" s="121">
        <v>1</v>
      </c>
      <c r="E239" s="96">
        <v>10</v>
      </c>
      <c r="F239" s="103">
        <f>D239*E239</f>
        <v>10</v>
      </c>
      <c r="G239" s="19"/>
      <c r="H239" s="17"/>
    </row>
    <row r="240" spans="2:8" ht="13.5" thickBot="1" x14ac:dyDescent="0.3">
      <c r="B240" s="99" t="s">
        <v>213</v>
      </c>
      <c r="C240" s="100" t="s">
        <v>214</v>
      </c>
      <c r="D240" s="164">
        <f>F45+F46</f>
        <v>2</v>
      </c>
      <c r="E240" s="103">
        <f>+SUM(F233:F239)</f>
        <v>36.25</v>
      </c>
      <c r="F240" s="103">
        <f>D240*E240</f>
        <v>72.5</v>
      </c>
      <c r="G240" s="19"/>
      <c r="H240" s="17"/>
    </row>
    <row r="241" spans="2:12" ht="13.5" thickBot="1" x14ac:dyDescent="0.3">
      <c r="B241" s="16"/>
      <c r="C241" s="17"/>
      <c r="D241" s="17"/>
      <c r="E241" s="112" t="s">
        <v>215</v>
      </c>
      <c r="F241" s="113">
        <f>$C$58</f>
        <v>1</v>
      </c>
      <c r="G241" s="114">
        <f>F240*F241</f>
        <v>72.5</v>
      </c>
      <c r="H241" s="151"/>
    </row>
    <row r="242" spans="2:12" ht="11.25" customHeight="1" thickBot="1" x14ac:dyDescent="0.3">
      <c r="B242" s="16"/>
      <c r="C242" s="17"/>
      <c r="D242" s="17"/>
      <c r="E242" s="18"/>
      <c r="F242" s="18"/>
      <c r="G242" s="19"/>
      <c r="H242" s="17"/>
    </row>
    <row r="243" spans="2:12" ht="13.5" thickBot="1" x14ac:dyDescent="0.3">
      <c r="B243" s="153" t="s">
        <v>260</v>
      </c>
      <c r="C243" s="165"/>
      <c r="D243" s="165"/>
      <c r="E243" s="166"/>
      <c r="F243" s="167"/>
      <c r="G243" s="168">
        <f>+G229+G241</f>
        <v>526.16499999999996</v>
      </c>
      <c r="H243" s="410">
        <f>G243*(1+$I$63)</f>
        <v>659.70567699999992</v>
      </c>
    </row>
    <row r="244" spans="2:12" ht="11.25" customHeight="1" x14ac:dyDescent="0.25">
      <c r="B244" s="16"/>
      <c r="C244" s="17"/>
      <c r="D244" s="17"/>
      <c r="E244" s="18"/>
      <c r="F244" s="18"/>
      <c r="G244" s="19"/>
      <c r="H244" s="17"/>
    </row>
    <row r="245" spans="2:12" x14ac:dyDescent="0.25">
      <c r="B245" s="88" t="s">
        <v>261</v>
      </c>
      <c r="C245" s="17"/>
      <c r="D245" s="17"/>
      <c r="E245" s="18"/>
      <c r="F245" s="18"/>
      <c r="G245" s="19"/>
      <c r="H245" s="17"/>
    </row>
    <row r="246" spans="2:12" ht="11.25" customHeight="1" x14ac:dyDescent="0.25">
      <c r="B246" s="16"/>
      <c r="C246" s="169"/>
      <c r="D246" s="17"/>
      <c r="E246" s="18"/>
      <c r="F246" s="18"/>
      <c r="G246" s="19"/>
      <c r="H246" s="17"/>
    </row>
    <row r="247" spans="2:12" x14ac:dyDescent="0.25">
      <c r="B247" s="170" t="s">
        <v>262</v>
      </c>
      <c r="C247" s="17"/>
      <c r="D247" s="17"/>
      <c r="E247" s="18"/>
      <c r="F247" s="18"/>
      <c r="G247" s="19"/>
      <c r="H247" s="17"/>
    </row>
    <row r="248" spans="2:12" ht="11.25" customHeight="1" x14ac:dyDescent="0.25">
      <c r="B248" s="16"/>
      <c r="C248" s="17"/>
      <c r="D248" s="17"/>
      <c r="E248" s="18"/>
      <c r="F248" s="18"/>
      <c r="G248" s="19"/>
      <c r="H248" s="17"/>
    </row>
    <row r="249" spans="2:12" ht="13.5" thickBot="1" x14ac:dyDescent="0.3">
      <c r="B249" s="171" t="s">
        <v>263</v>
      </c>
      <c r="C249" s="17"/>
      <c r="D249" s="17"/>
      <c r="E249" s="18"/>
      <c r="F249" s="18"/>
      <c r="G249" s="19"/>
      <c r="H249" s="17"/>
    </row>
    <row r="250" spans="2:12" ht="13.5" thickBot="1" x14ac:dyDescent="0.3">
      <c r="B250" s="89" t="s">
        <v>200</v>
      </c>
      <c r="C250" s="90" t="s">
        <v>201</v>
      </c>
      <c r="D250" s="90" t="s">
        <v>192</v>
      </c>
      <c r="E250" s="91" t="s">
        <v>202</v>
      </c>
      <c r="F250" s="91" t="s">
        <v>203</v>
      </c>
      <c r="G250" s="92" t="s">
        <v>204</v>
      </c>
      <c r="H250" s="17"/>
    </row>
    <row r="251" spans="2:12" x14ac:dyDescent="0.25">
      <c r="B251" s="93" t="s">
        <v>264</v>
      </c>
      <c r="C251" s="94" t="s">
        <v>0</v>
      </c>
      <c r="D251" s="95">
        <v>1</v>
      </c>
      <c r="E251" s="96">
        <v>172000</v>
      </c>
      <c r="F251" s="97">
        <f>D251*E251</f>
        <v>172000</v>
      </c>
      <c r="G251" s="19"/>
      <c r="H251" s="17"/>
    </row>
    <row r="252" spans="2:12" x14ac:dyDescent="0.25">
      <c r="B252" s="99" t="s">
        <v>265</v>
      </c>
      <c r="C252" s="100" t="s">
        <v>266</v>
      </c>
      <c r="D252" s="105">
        <v>10</v>
      </c>
      <c r="E252" s="102"/>
      <c r="F252" s="103"/>
      <c r="G252" s="19"/>
      <c r="H252" s="17"/>
    </row>
    <row r="253" spans="2:12" x14ac:dyDescent="0.25">
      <c r="B253" s="99" t="s">
        <v>267</v>
      </c>
      <c r="C253" s="100" t="s">
        <v>266</v>
      </c>
      <c r="D253" s="105">
        <v>5</v>
      </c>
      <c r="E253" s="102"/>
      <c r="F253" s="103"/>
      <c r="G253" s="172"/>
      <c r="J253" s="147"/>
      <c r="K253" s="147"/>
    </row>
    <row r="254" spans="2:12" x14ac:dyDescent="0.25">
      <c r="B254" s="99" t="s">
        <v>268</v>
      </c>
      <c r="C254" s="100" t="s">
        <v>154</v>
      </c>
      <c r="D254" s="173">
        <f>IFERROR(VLOOKUP(D252,'[1]5. Depreciação'!C11:D25,2,FALSE),0)</f>
        <v>65.180000000000007</v>
      </c>
      <c r="E254" s="102">
        <f>F251</f>
        <v>172000</v>
      </c>
      <c r="F254" s="103">
        <f>D254*E254/100</f>
        <v>112109.60000000002</v>
      </c>
      <c r="G254" s="19"/>
      <c r="H254" s="18">
        <f>E254*D254/100</f>
        <v>112109.60000000002</v>
      </c>
      <c r="J254" s="411">
        <f>(D254/100/10)*5</f>
        <v>0.32590000000000002</v>
      </c>
      <c r="K254" s="15">
        <f>J254*F251</f>
        <v>56054.8</v>
      </c>
      <c r="L254" s="147">
        <f>F251-K254</f>
        <v>115945.2</v>
      </c>
    </row>
    <row r="255" spans="2:12" ht="13.5" thickBot="1" x14ac:dyDescent="0.3">
      <c r="B255" s="174" t="s">
        <v>269</v>
      </c>
      <c r="C255" s="175" t="s">
        <v>144</v>
      </c>
      <c r="D255" s="176">
        <f>D252*12</f>
        <v>120</v>
      </c>
      <c r="E255" s="177">
        <f>IF(D253&lt;=D252,F254,0)</f>
        <v>112109.60000000002</v>
      </c>
      <c r="F255" s="178">
        <f>IFERROR(E255/D255,0)</f>
        <v>934.24666666666678</v>
      </c>
      <c r="G255" s="19"/>
    </row>
    <row r="256" spans="2:12" ht="13.5" thickTop="1" x14ac:dyDescent="0.25">
      <c r="B256" s="93" t="s">
        <v>270</v>
      </c>
      <c r="C256" s="94" t="s">
        <v>0</v>
      </c>
      <c r="D256" s="95">
        <f>D251</f>
        <v>1</v>
      </c>
      <c r="E256" s="96">
        <v>75000</v>
      </c>
      <c r="F256" s="97">
        <f>D256*E256</f>
        <v>75000</v>
      </c>
      <c r="G256" s="19"/>
      <c r="H256" s="17"/>
    </row>
    <row r="257" spans="2:11" x14ac:dyDescent="0.25">
      <c r="B257" s="99" t="s">
        <v>271</v>
      </c>
      <c r="C257" s="100" t="s">
        <v>266</v>
      </c>
      <c r="D257" s="105">
        <v>10</v>
      </c>
      <c r="E257" s="102"/>
      <c r="F257" s="103"/>
      <c r="G257" s="19"/>
    </row>
    <row r="258" spans="2:11" x14ac:dyDescent="0.25">
      <c r="B258" s="99" t="s">
        <v>272</v>
      </c>
      <c r="C258" s="100" t="s">
        <v>266</v>
      </c>
      <c r="D258" s="105">
        <v>5</v>
      </c>
      <c r="E258" s="102"/>
      <c r="F258" s="103"/>
      <c r="G258" s="172"/>
      <c r="J258" s="147"/>
      <c r="K258" s="147"/>
    </row>
    <row r="259" spans="2:11" x14ac:dyDescent="0.25">
      <c r="B259" s="99" t="s">
        <v>273</v>
      </c>
      <c r="C259" s="100" t="s">
        <v>154</v>
      </c>
      <c r="D259" s="173">
        <f>IFERROR(VLOOKUP(D257,'[1]5. Depreciação'!C11:D25,2,FALSE),0)</f>
        <v>65.180000000000007</v>
      </c>
      <c r="E259" s="102">
        <f>F256</f>
        <v>75000</v>
      </c>
      <c r="F259" s="103">
        <f>D259*E259/100</f>
        <v>48885.000000000007</v>
      </c>
      <c r="G259" s="19"/>
      <c r="I259" s="151">
        <f>(F254+F259)*(1+$I$63)</f>
        <v>201855.02948000006</v>
      </c>
    </row>
    <row r="260" spans="2:11" x14ac:dyDescent="0.25">
      <c r="B260" s="122" t="s">
        <v>274</v>
      </c>
      <c r="C260" s="179" t="s">
        <v>144</v>
      </c>
      <c r="D260" s="180">
        <f>D257*12</f>
        <v>120</v>
      </c>
      <c r="E260" s="181">
        <f>IF(D258&lt;=D257,F259,0)</f>
        <v>48885.000000000007</v>
      </c>
      <c r="F260" s="123">
        <f>IFERROR(E260/D260,0)</f>
        <v>407.37500000000006</v>
      </c>
      <c r="G260" s="19"/>
    </row>
    <row r="261" spans="2:11" x14ac:dyDescent="0.25">
      <c r="B261" s="106" t="s">
        <v>275</v>
      </c>
      <c r="C261" s="107"/>
      <c r="D261" s="108"/>
      <c r="E261" s="109"/>
      <c r="F261" s="110">
        <f>F255+F260</f>
        <v>1341.6216666666669</v>
      </c>
      <c r="G261" s="19"/>
    </row>
    <row r="262" spans="2:11" ht="13.5" thickBot="1" x14ac:dyDescent="0.3">
      <c r="B262" s="122" t="s">
        <v>276</v>
      </c>
      <c r="C262" s="179" t="s">
        <v>0</v>
      </c>
      <c r="D262" s="111">
        <f>$F$54</f>
        <v>2</v>
      </c>
      <c r="E262" s="102">
        <f>F261</f>
        <v>1341.6216666666669</v>
      </c>
      <c r="F262" s="182">
        <f>D262*E262</f>
        <v>2683.2433333333338</v>
      </c>
      <c r="G262" s="19"/>
    </row>
    <row r="263" spans="2:11" ht="13.5" thickBot="1" x14ac:dyDescent="0.3">
      <c r="B263" s="183"/>
      <c r="C263" s="184"/>
      <c r="D263" s="184"/>
      <c r="E263" s="112" t="s">
        <v>215</v>
      </c>
      <c r="F263" s="113">
        <f>$C$58</f>
        <v>1</v>
      </c>
      <c r="G263" s="168">
        <f>F262*F263</f>
        <v>2683.2433333333338</v>
      </c>
      <c r="H263" s="18">
        <f>G263*(1+$I$63)</f>
        <v>3364.2504913333341</v>
      </c>
    </row>
    <row r="264" spans="2:11" ht="11.25" customHeight="1" x14ac:dyDescent="0.25">
      <c r="B264" s="16"/>
      <c r="C264" s="17"/>
      <c r="D264" s="17"/>
      <c r="E264" s="18"/>
      <c r="F264" s="18"/>
      <c r="G264" s="19"/>
    </row>
    <row r="265" spans="2:11" ht="13.5" thickBot="1" x14ac:dyDescent="0.3">
      <c r="B265" s="171" t="s">
        <v>277</v>
      </c>
      <c r="C265" s="17"/>
      <c r="D265" s="17"/>
      <c r="E265" s="18"/>
      <c r="F265" s="18"/>
      <c r="G265" s="19"/>
    </row>
    <row r="266" spans="2:11" ht="13.5" thickBot="1" x14ac:dyDescent="0.3">
      <c r="B266" s="89" t="s">
        <v>200</v>
      </c>
      <c r="C266" s="90" t="s">
        <v>201</v>
      </c>
      <c r="D266" s="90" t="s">
        <v>192</v>
      </c>
      <c r="E266" s="91" t="s">
        <v>202</v>
      </c>
      <c r="F266" s="91" t="s">
        <v>203</v>
      </c>
      <c r="G266" s="92" t="s">
        <v>204</v>
      </c>
      <c r="J266" s="147"/>
      <c r="K266" s="147"/>
    </row>
    <row r="267" spans="2:11" x14ac:dyDescent="0.25">
      <c r="B267" s="93" t="s">
        <v>278</v>
      </c>
      <c r="C267" s="94" t="s">
        <v>0</v>
      </c>
      <c r="D267" s="95">
        <v>1</v>
      </c>
      <c r="E267" s="97">
        <f>E251</f>
        <v>172000</v>
      </c>
      <c r="F267" s="97">
        <f>D267*E267</f>
        <v>172000</v>
      </c>
      <c r="G267" s="172"/>
      <c r="J267" s="147"/>
      <c r="K267" s="147"/>
    </row>
    <row r="268" spans="2:11" x14ac:dyDescent="0.25">
      <c r="B268" s="99" t="s">
        <v>279</v>
      </c>
      <c r="C268" s="100" t="s">
        <v>154</v>
      </c>
      <c r="D268" s="105">
        <v>6.5</v>
      </c>
      <c r="E268" s="103"/>
      <c r="F268" s="103"/>
      <c r="G268" s="172"/>
      <c r="J268" s="147"/>
      <c r="K268" s="147"/>
    </row>
    <row r="269" spans="2:11" x14ac:dyDescent="0.25">
      <c r="B269" s="99" t="s">
        <v>280</v>
      </c>
      <c r="C269" s="100" t="s">
        <v>209</v>
      </c>
      <c r="D269" s="185">
        <f>IFERROR(IF(D253&lt;=D252,F251-(D254/(100*D252)*D253)*F251,F251-F254),0)</f>
        <v>115945.2</v>
      </c>
      <c r="E269" s="103"/>
      <c r="F269" s="103"/>
      <c r="G269" s="172"/>
      <c r="J269" s="147"/>
      <c r="K269" s="147"/>
    </row>
    <row r="270" spans="2:11" x14ac:dyDescent="0.25">
      <c r="B270" s="99" t="s">
        <v>281</v>
      </c>
      <c r="C270" s="100" t="s">
        <v>209</v>
      </c>
      <c r="D270" s="102">
        <f>IFERROR(IF(D253&gt;=D252,D269,((((D269)-(F251-F254))*(((D252-D253)+1)/(2*(D252-D253))))+(F251-F254))),0)</f>
        <v>93523.28</v>
      </c>
      <c r="E270" s="103"/>
      <c r="F270" s="103"/>
      <c r="G270" s="172"/>
      <c r="J270" s="147"/>
      <c r="K270" s="147"/>
    </row>
    <row r="271" spans="2:11" x14ac:dyDescent="0.25">
      <c r="B271" s="122" t="s">
        <v>282</v>
      </c>
      <c r="C271" s="179" t="s">
        <v>209</v>
      </c>
      <c r="D271" s="179"/>
      <c r="E271" s="181">
        <f>D268*D270/12/100</f>
        <v>506.58443333333327</v>
      </c>
      <c r="F271" s="123">
        <f>E271</f>
        <v>506.58443333333327</v>
      </c>
      <c r="G271" s="172"/>
      <c r="J271" s="147"/>
      <c r="K271" s="147"/>
    </row>
    <row r="272" spans="2:11" ht="25.5" x14ac:dyDescent="0.25">
      <c r="B272" s="186" t="s">
        <v>283</v>
      </c>
      <c r="C272" s="94" t="s">
        <v>0</v>
      </c>
      <c r="D272" s="94">
        <f>D256</f>
        <v>1</v>
      </c>
      <c r="E272" s="97">
        <f>E256</f>
        <v>75000</v>
      </c>
      <c r="F272" s="97">
        <f>D272*E272</f>
        <v>75000</v>
      </c>
      <c r="G272" s="172"/>
      <c r="J272" s="147"/>
      <c r="K272" s="147"/>
    </row>
    <row r="273" spans="2:11" x14ac:dyDescent="0.25">
      <c r="B273" s="99" t="s">
        <v>279</v>
      </c>
      <c r="C273" s="100" t="s">
        <v>154</v>
      </c>
      <c r="D273" s="105">
        <f>D268</f>
        <v>6.5</v>
      </c>
      <c r="E273" s="103"/>
      <c r="F273" s="103"/>
      <c r="G273" s="172"/>
      <c r="J273" s="147"/>
      <c r="K273" s="147"/>
    </row>
    <row r="274" spans="2:11" x14ac:dyDescent="0.25">
      <c r="B274" s="99" t="s">
        <v>284</v>
      </c>
      <c r="C274" s="100" t="s">
        <v>209</v>
      </c>
      <c r="D274" s="185">
        <f>IFERROR(IF(D258&lt;=D257,F256-(D259/(100*D257)*D258)*F256,F256-F259),0)</f>
        <v>50557.5</v>
      </c>
      <c r="E274" s="103"/>
      <c r="F274" s="103"/>
      <c r="G274" s="172"/>
      <c r="J274" s="147"/>
      <c r="K274" s="147"/>
    </row>
    <row r="275" spans="2:11" x14ac:dyDescent="0.25">
      <c r="B275" s="99" t="s">
        <v>285</v>
      </c>
      <c r="C275" s="100" t="s">
        <v>209</v>
      </c>
      <c r="D275" s="102">
        <f>IFERROR(IF(D258&gt;=D257,D274,((((D274)-(F256-F259))*(((D257-D258)+1)/(2*(D257-D258))))+(F256-F259))),0)</f>
        <v>40780.5</v>
      </c>
      <c r="E275" s="103"/>
      <c r="F275" s="103"/>
      <c r="G275" s="172"/>
      <c r="J275" s="147"/>
      <c r="K275" s="147"/>
    </row>
    <row r="276" spans="2:11" x14ac:dyDescent="0.25">
      <c r="B276" s="122" t="s">
        <v>286</v>
      </c>
      <c r="C276" s="179" t="s">
        <v>209</v>
      </c>
      <c r="D276" s="179"/>
      <c r="E276" s="181">
        <f>D273*D275/12/100</f>
        <v>220.894375</v>
      </c>
      <c r="F276" s="123">
        <f>E276</f>
        <v>220.894375</v>
      </c>
      <c r="G276" s="172"/>
      <c r="J276" s="147"/>
      <c r="K276" s="147"/>
    </row>
    <row r="277" spans="2:11" x14ac:dyDescent="0.25">
      <c r="B277" s="106" t="s">
        <v>275</v>
      </c>
      <c r="C277" s="107"/>
      <c r="D277" s="107"/>
      <c r="E277" s="117"/>
      <c r="F277" s="110">
        <f>F271+F276</f>
        <v>727.47880833333329</v>
      </c>
      <c r="G277" s="172"/>
      <c r="J277" s="147"/>
      <c r="K277" s="147"/>
    </row>
    <row r="278" spans="2:11" ht="13.5" thickBot="1" x14ac:dyDescent="0.3">
      <c r="B278" s="122" t="s">
        <v>276</v>
      </c>
      <c r="C278" s="179" t="s">
        <v>0</v>
      </c>
      <c r="D278" s="111">
        <f>$F$54</f>
        <v>2</v>
      </c>
      <c r="E278" s="103">
        <f>F277</f>
        <v>727.47880833333329</v>
      </c>
      <c r="F278" s="182">
        <f>D278*E278</f>
        <v>1454.9576166666666</v>
      </c>
      <c r="G278" s="172"/>
      <c r="J278" s="147"/>
      <c r="K278" s="147"/>
    </row>
    <row r="279" spans="2:11" ht="13.5" thickBot="1" x14ac:dyDescent="0.3">
      <c r="B279" s="16"/>
      <c r="C279" s="17"/>
      <c r="D279" s="187"/>
      <c r="E279" s="112" t="s">
        <v>215</v>
      </c>
      <c r="F279" s="113">
        <f>$C$58</f>
        <v>1</v>
      </c>
      <c r="G279" s="168">
        <f>F278*F279</f>
        <v>1454.9576166666666</v>
      </c>
      <c r="H279" s="18">
        <f>G279*(1+$I$63)</f>
        <v>1824.2258597766665</v>
      </c>
      <c r="I279" s="17">
        <v>2167</v>
      </c>
      <c r="J279" s="147">
        <f>I279-H279</f>
        <v>342.77414022333346</v>
      </c>
      <c r="K279" s="147"/>
    </row>
    <row r="280" spans="2:11" ht="11.25" customHeight="1" x14ac:dyDescent="0.25">
      <c r="B280" s="16"/>
      <c r="C280" s="17"/>
      <c r="D280" s="17"/>
      <c r="E280" s="18"/>
      <c r="F280" s="18"/>
      <c r="G280" s="19"/>
      <c r="J280" s="147"/>
      <c r="K280" s="147"/>
    </row>
    <row r="281" spans="2:11" ht="13.5" thickBot="1" x14ac:dyDescent="0.3">
      <c r="B281" s="16" t="s">
        <v>287</v>
      </c>
      <c r="C281" s="17"/>
      <c r="D281" s="17"/>
      <c r="E281" s="18"/>
      <c r="F281" s="18"/>
      <c r="G281" s="19"/>
      <c r="J281" s="147"/>
      <c r="K281" s="147"/>
    </row>
    <row r="282" spans="2:11" ht="13.5" thickBot="1" x14ac:dyDescent="0.3">
      <c r="B282" s="89" t="s">
        <v>200</v>
      </c>
      <c r="C282" s="90" t="s">
        <v>201</v>
      </c>
      <c r="D282" s="90" t="s">
        <v>192</v>
      </c>
      <c r="E282" s="91" t="s">
        <v>202</v>
      </c>
      <c r="F282" s="91" t="s">
        <v>203</v>
      </c>
      <c r="G282" s="92" t="s">
        <v>204</v>
      </c>
      <c r="J282" s="147"/>
      <c r="K282" s="147"/>
    </row>
    <row r="283" spans="2:11" x14ac:dyDescent="0.25">
      <c r="B283" s="93" t="s">
        <v>180</v>
      </c>
      <c r="C283" s="94" t="s">
        <v>0</v>
      </c>
      <c r="D283" s="102">
        <f>$F$54</f>
        <v>2</v>
      </c>
      <c r="E283" s="97">
        <f>0.01*($F$251)</f>
        <v>1720</v>
      </c>
      <c r="F283" s="97">
        <f>D283*E283</f>
        <v>3440</v>
      </c>
      <c r="G283" s="19"/>
      <c r="J283" s="147">
        <f>F283/12</f>
        <v>286.66666666666669</v>
      </c>
      <c r="K283" s="147"/>
    </row>
    <row r="284" spans="2:11" x14ac:dyDescent="0.25">
      <c r="B284" s="99" t="s">
        <v>288</v>
      </c>
      <c r="C284" s="100" t="s">
        <v>0</v>
      </c>
      <c r="D284" s="102">
        <f>$F$54</f>
        <v>2</v>
      </c>
      <c r="E284" s="102">
        <v>150</v>
      </c>
      <c r="F284" s="103">
        <f>D284*E284</f>
        <v>300</v>
      </c>
      <c r="G284" s="19"/>
      <c r="J284" s="147">
        <f>300/12</f>
        <v>25</v>
      </c>
      <c r="K284" s="147"/>
    </row>
    <row r="285" spans="2:11" x14ac:dyDescent="0.25">
      <c r="B285" s="99" t="s">
        <v>289</v>
      </c>
      <c r="C285" s="100" t="s">
        <v>0</v>
      </c>
      <c r="D285" s="102">
        <f>$F$54</f>
        <v>2</v>
      </c>
      <c r="E285" s="102">
        <v>2300</v>
      </c>
      <c r="F285" s="103">
        <f>D285*E285</f>
        <v>4600</v>
      </c>
      <c r="G285" s="188"/>
      <c r="J285" s="147"/>
      <c r="K285" s="147"/>
    </row>
    <row r="286" spans="2:11" ht="13.5" thickBot="1" x14ac:dyDescent="0.3">
      <c r="B286" s="122" t="s">
        <v>290</v>
      </c>
      <c r="C286" s="179" t="s">
        <v>144</v>
      </c>
      <c r="D286" s="179">
        <v>12</v>
      </c>
      <c r="E286" s="103">
        <f>SUM(F283:F285)</f>
        <v>8340</v>
      </c>
      <c r="F286" s="103">
        <f>E286/D286</f>
        <v>695</v>
      </c>
      <c r="G286" s="19"/>
      <c r="J286" s="147"/>
      <c r="K286" s="147"/>
    </row>
    <row r="287" spans="2:11" ht="13.5" thickBot="1" x14ac:dyDescent="0.3">
      <c r="B287" s="16"/>
      <c r="C287" s="17"/>
      <c r="D287" s="17"/>
      <c r="E287" s="112" t="s">
        <v>215</v>
      </c>
      <c r="F287" s="113">
        <f>$C$58</f>
        <v>1</v>
      </c>
      <c r="G287" s="114">
        <f>F286*F287</f>
        <v>695</v>
      </c>
      <c r="H287" s="18">
        <f>G287*(1+$I$63)</f>
        <v>871.39099999999996</v>
      </c>
      <c r="I287" s="17">
        <v>823</v>
      </c>
      <c r="J287" s="147">
        <f>I287-H287</f>
        <v>-48.390999999999963</v>
      </c>
      <c r="K287" s="147"/>
    </row>
    <row r="288" spans="2:11" ht="11.25" customHeight="1" x14ac:dyDescent="0.25">
      <c r="B288" s="16"/>
      <c r="C288" s="17"/>
      <c r="D288" s="17"/>
      <c r="E288" s="18"/>
      <c r="F288" s="18"/>
      <c r="G288" s="19"/>
      <c r="J288" s="147"/>
      <c r="K288" s="147"/>
    </row>
    <row r="289" spans="2:11" x14ac:dyDescent="0.25">
      <c r="B289" s="16" t="s">
        <v>291</v>
      </c>
      <c r="C289" s="189"/>
      <c r="D289" s="17"/>
      <c r="E289" s="18"/>
      <c r="F289" s="18"/>
      <c r="G289" s="19"/>
      <c r="J289" s="147"/>
      <c r="K289" s="147"/>
    </row>
    <row r="290" spans="2:11" ht="13.5" thickBot="1" x14ac:dyDescent="0.3">
      <c r="B290" s="122" t="s">
        <v>292</v>
      </c>
      <c r="C290" s="190">
        <f>Itinerário!H29</f>
        <v>6172.7380000000003</v>
      </c>
      <c r="D290" s="17"/>
      <c r="E290" s="18"/>
      <c r="F290" s="18"/>
      <c r="G290" s="19"/>
      <c r="J290" s="147"/>
      <c r="K290" s="147"/>
    </row>
    <row r="291" spans="2:11" ht="13.5" thickBot="1" x14ac:dyDescent="0.3">
      <c r="B291" s="89" t="s">
        <v>200</v>
      </c>
      <c r="C291" s="90" t="s">
        <v>201</v>
      </c>
      <c r="D291" s="90" t="s">
        <v>293</v>
      </c>
      <c r="E291" s="91" t="s">
        <v>202</v>
      </c>
      <c r="F291" s="91" t="s">
        <v>203</v>
      </c>
      <c r="G291" s="92" t="s">
        <v>204</v>
      </c>
      <c r="J291" s="147"/>
      <c r="K291" s="147"/>
    </row>
    <row r="292" spans="2:11" x14ac:dyDescent="0.25">
      <c r="B292" s="93" t="s">
        <v>294</v>
      </c>
      <c r="C292" s="94" t="s">
        <v>295</v>
      </c>
      <c r="D292" s="191">
        <v>3</v>
      </c>
      <c r="E292" s="192">
        <v>3.34</v>
      </c>
      <c r="F292" s="97"/>
      <c r="G292" s="19"/>
      <c r="J292" s="147"/>
      <c r="K292" s="147"/>
    </row>
    <row r="293" spans="2:11" x14ac:dyDescent="0.25">
      <c r="B293" s="99" t="s">
        <v>296</v>
      </c>
      <c r="C293" s="100" t="s">
        <v>146</v>
      </c>
      <c r="D293" s="143">
        <f>$C$290</f>
        <v>6172.7380000000003</v>
      </c>
      <c r="E293" s="192">
        <f>IFERROR(+E292/D292,"-")</f>
        <v>1.1133333333333333</v>
      </c>
      <c r="F293" s="103">
        <f>IFERROR(D293*E293,"-")</f>
        <v>6872.314973333333</v>
      </c>
      <c r="G293" s="19"/>
      <c r="H293" s="18">
        <f>F293*(1+$I$63)</f>
        <v>8616.5085135653335</v>
      </c>
      <c r="J293" s="147"/>
      <c r="K293" s="147"/>
    </row>
    <row r="294" spans="2:11" x14ac:dyDescent="0.25">
      <c r="B294" s="99" t="s">
        <v>297</v>
      </c>
      <c r="C294" s="100" t="s">
        <v>298</v>
      </c>
      <c r="D294" s="193">
        <v>6</v>
      </c>
      <c r="E294" s="102">
        <v>13</v>
      </c>
      <c r="F294" s="103"/>
      <c r="G294" s="19"/>
      <c r="H294" s="144"/>
      <c r="I294" s="104"/>
      <c r="J294" s="147"/>
      <c r="K294" s="147"/>
    </row>
    <row r="295" spans="2:11" x14ac:dyDescent="0.25">
      <c r="B295" s="99" t="s">
        <v>299</v>
      </c>
      <c r="C295" s="100" t="s">
        <v>146</v>
      </c>
      <c r="D295" s="143">
        <f>$C$290</f>
        <v>6172.7380000000003</v>
      </c>
      <c r="E295" s="194">
        <f>+D294*E294/1000</f>
        <v>7.8E-2</v>
      </c>
      <c r="F295" s="103">
        <f>D295*E295</f>
        <v>481.47356400000001</v>
      </c>
      <c r="G295" s="19"/>
      <c r="H295" s="18">
        <f>F295*(1+$I$63)</f>
        <v>603.67155454320005</v>
      </c>
      <c r="I295" s="104"/>
      <c r="J295" s="147"/>
      <c r="K295" s="147"/>
    </row>
    <row r="296" spans="2:11" x14ac:dyDescent="0.25">
      <c r="B296" s="99" t="s">
        <v>300</v>
      </c>
      <c r="C296" s="100" t="s">
        <v>298</v>
      </c>
      <c r="D296" s="193">
        <v>0.85</v>
      </c>
      <c r="E296" s="102">
        <v>15.8</v>
      </c>
      <c r="F296" s="103"/>
      <c r="G296" s="19"/>
      <c r="H296" s="144"/>
      <c r="I296" s="104"/>
      <c r="J296" s="147"/>
      <c r="K296" s="147"/>
    </row>
    <row r="297" spans="2:11" x14ac:dyDescent="0.25">
      <c r="B297" s="99" t="s">
        <v>301</v>
      </c>
      <c r="C297" s="100" t="s">
        <v>146</v>
      </c>
      <c r="D297" s="143">
        <f>$C$290</f>
        <v>6172.7380000000003</v>
      </c>
      <c r="E297" s="194">
        <f>+D296*E296/1000</f>
        <v>1.3429999999999999E-2</v>
      </c>
      <c r="F297" s="103">
        <f>D297*E297</f>
        <v>82.899871340000004</v>
      </c>
      <c r="G297" s="19"/>
      <c r="H297" s="18">
        <f>F297*(1+$I$63)</f>
        <v>103.93985868609201</v>
      </c>
      <c r="I297" s="104"/>
      <c r="J297" s="147"/>
      <c r="K297" s="147"/>
    </row>
    <row r="298" spans="2:11" x14ac:dyDescent="0.25">
      <c r="B298" s="99" t="s">
        <v>302</v>
      </c>
      <c r="C298" s="100" t="s">
        <v>298</v>
      </c>
      <c r="D298" s="193">
        <v>16</v>
      </c>
      <c r="E298" s="102">
        <v>8.25</v>
      </c>
      <c r="F298" s="103"/>
      <c r="G298" s="19"/>
      <c r="H298" s="144"/>
      <c r="I298" s="104"/>
      <c r="J298" s="147"/>
      <c r="K298" s="147"/>
    </row>
    <row r="299" spans="2:11" x14ac:dyDescent="0.25">
      <c r="B299" s="99" t="s">
        <v>303</v>
      </c>
      <c r="C299" s="100" t="s">
        <v>146</v>
      </c>
      <c r="D299" s="143">
        <f>$C$290</f>
        <v>6172.7380000000003</v>
      </c>
      <c r="E299" s="194">
        <f>+D298*E298/1000</f>
        <v>0.13200000000000001</v>
      </c>
      <c r="F299" s="103">
        <f>D299*E299</f>
        <v>814.80141600000013</v>
      </c>
      <c r="G299" s="19"/>
      <c r="H299" s="18">
        <f>F299*(1+$I$63)</f>
        <v>1021.5980153808002</v>
      </c>
      <c r="I299" s="104"/>
      <c r="J299" s="147"/>
      <c r="K299" s="147"/>
    </row>
    <row r="300" spans="2:11" x14ac:dyDescent="0.25">
      <c r="B300" s="99" t="s">
        <v>304</v>
      </c>
      <c r="C300" s="100" t="s">
        <v>305</v>
      </c>
      <c r="D300" s="193">
        <v>2</v>
      </c>
      <c r="E300" s="102">
        <v>5.4</v>
      </c>
      <c r="F300" s="103"/>
      <c r="G300" s="19"/>
      <c r="H300" s="144"/>
      <c r="I300" s="104"/>
      <c r="J300" s="147"/>
      <c r="K300" s="147"/>
    </row>
    <row r="301" spans="2:11" x14ac:dyDescent="0.25">
      <c r="B301" s="99" t="s">
        <v>306</v>
      </c>
      <c r="C301" s="100" t="s">
        <v>146</v>
      </c>
      <c r="D301" s="143">
        <f>$C$290</f>
        <v>6172.7380000000003</v>
      </c>
      <c r="E301" s="194">
        <f>+D300*E300/1000</f>
        <v>1.0800000000000001E-2</v>
      </c>
      <c r="F301" s="103">
        <f>D301*E301</f>
        <v>66.665570400000007</v>
      </c>
      <c r="G301" s="19"/>
      <c r="H301" s="18">
        <f>F301*(1+$I$63)</f>
        <v>83.585292167520009</v>
      </c>
      <c r="I301" s="104"/>
      <c r="J301" s="147"/>
      <c r="K301" s="147"/>
    </row>
    <row r="302" spans="2:11" ht="13.5" thickBot="1" x14ac:dyDescent="0.3">
      <c r="B302" s="122" t="s">
        <v>307</v>
      </c>
      <c r="C302" s="179" t="s">
        <v>308</v>
      </c>
      <c r="D302" s="195"/>
      <c r="E302" s="196">
        <f>IFERROR(E293+E295+E297+E299+E301,0)</f>
        <v>1.3475633333333332</v>
      </c>
      <c r="F302" s="103"/>
      <c r="G302" s="19"/>
      <c r="H302" s="144"/>
      <c r="I302" s="104"/>
      <c r="J302" s="147"/>
      <c r="K302" s="147"/>
    </row>
    <row r="303" spans="2:11" ht="13.5" thickBot="1" x14ac:dyDescent="0.3">
      <c r="B303" s="16"/>
      <c r="C303" s="17"/>
      <c r="D303" s="17"/>
      <c r="E303" s="18"/>
      <c r="F303" s="18"/>
      <c r="G303" s="168">
        <f>SUM(F292:F301)</f>
        <v>8318.1553950733323</v>
      </c>
      <c r="H303" s="18">
        <f>SUM(H293:H301)</f>
        <v>10429.303234342944</v>
      </c>
      <c r="J303" s="147"/>
      <c r="K303" s="147"/>
    </row>
    <row r="304" spans="2:11" ht="11.25" customHeight="1" x14ac:dyDescent="0.25">
      <c r="B304" s="16"/>
      <c r="C304" s="17"/>
      <c r="D304" s="17"/>
      <c r="E304" s="18"/>
      <c r="F304" s="18"/>
      <c r="G304" s="19"/>
      <c r="J304" s="147"/>
      <c r="K304" s="147"/>
    </row>
    <row r="305" spans="2:11" ht="13.5" thickBot="1" x14ac:dyDescent="0.3">
      <c r="B305" s="16" t="s">
        <v>309</v>
      </c>
      <c r="C305" s="17"/>
      <c r="D305" s="17"/>
      <c r="E305" s="18"/>
      <c r="F305" s="18"/>
      <c r="G305" s="19"/>
      <c r="J305" s="147"/>
      <c r="K305" s="147"/>
    </row>
    <row r="306" spans="2:11" ht="13.5" thickBot="1" x14ac:dyDescent="0.3">
      <c r="B306" s="89" t="s">
        <v>200</v>
      </c>
      <c r="C306" s="90" t="s">
        <v>201</v>
      </c>
      <c r="D306" s="90" t="s">
        <v>192</v>
      </c>
      <c r="E306" s="91" t="s">
        <v>202</v>
      </c>
      <c r="F306" s="91" t="s">
        <v>203</v>
      </c>
      <c r="G306" s="92" t="s">
        <v>204</v>
      </c>
      <c r="J306" s="147"/>
      <c r="K306" s="147"/>
    </row>
    <row r="307" spans="2:11" ht="13.5" thickBot="1" x14ac:dyDescent="0.3">
      <c r="B307" s="93" t="s">
        <v>310</v>
      </c>
      <c r="C307" s="94" t="s">
        <v>308</v>
      </c>
      <c r="D307" s="197">
        <f>$C$290</f>
        <v>6172.7380000000003</v>
      </c>
      <c r="E307" s="96">
        <v>0.74</v>
      </c>
      <c r="F307" s="97">
        <f>D307*E307</f>
        <v>4567.8261199999997</v>
      </c>
      <c r="G307" s="19"/>
      <c r="J307" s="147"/>
      <c r="K307" s="147"/>
    </row>
    <row r="308" spans="2:11" ht="13.5" thickBot="1" x14ac:dyDescent="0.3">
      <c r="B308" s="16"/>
      <c r="C308" s="17"/>
      <c r="D308" s="17"/>
      <c r="E308" s="18"/>
      <c r="F308" s="18"/>
      <c r="G308" s="168">
        <f>F307</f>
        <v>4567.8261199999997</v>
      </c>
      <c r="H308" s="18">
        <f>G308*(1+$I$63)</f>
        <v>5727.1403892560002</v>
      </c>
      <c r="J308" s="147"/>
      <c r="K308" s="147"/>
    </row>
    <row r="309" spans="2:11" ht="11.25" customHeight="1" x14ac:dyDescent="0.25">
      <c r="B309" s="16"/>
      <c r="C309" s="17"/>
      <c r="D309" s="17"/>
      <c r="E309" s="18"/>
      <c r="F309" s="18"/>
      <c r="G309" s="19"/>
      <c r="J309" s="147"/>
      <c r="K309" s="147"/>
    </row>
    <row r="310" spans="2:11" ht="13.5" thickBot="1" x14ac:dyDescent="0.3">
      <c r="B310" s="16" t="s">
        <v>311</v>
      </c>
      <c r="C310" s="17"/>
      <c r="D310" s="17"/>
      <c r="E310" s="18"/>
      <c r="F310" s="18"/>
      <c r="G310" s="19"/>
      <c r="J310" s="147"/>
      <c r="K310" s="147"/>
    </row>
    <row r="311" spans="2:11" ht="13.5" thickBot="1" x14ac:dyDescent="0.3">
      <c r="B311" s="89" t="s">
        <v>200</v>
      </c>
      <c r="C311" s="90" t="s">
        <v>201</v>
      </c>
      <c r="D311" s="90" t="s">
        <v>192</v>
      </c>
      <c r="E311" s="91" t="s">
        <v>202</v>
      </c>
      <c r="F311" s="91" t="s">
        <v>203</v>
      </c>
      <c r="G311" s="92" t="s">
        <v>204</v>
      </c>
      <c r="J311" s="147"/>
      <c r="K311" s="147"/>
    </row>
    <row r="312" spans="2:11" x14ac:dyDescent="0.25">
      <c r="B312" s="93" t="s">
        <v>312</v>
      </c>
      <c r="C312" s="94" t="s">
        <v>0</v>
      </c>
      <c r="D312" s="95">
        <v>6</v>
      </c>
      <c r="E312" s="96">
        <v>1450</v>
      </c>
      <c r="F312" s="97">
        <f>D312*E312</f>
        <v>8700</v>
      </c>
      <c r="G312" s="19"/>
      <c r="J312" s="147"/>
      <c r="K312" s="147"/>
    </row>
    <row r="313" spans="2:11" x14ac:dyDescent="0.25">
      <c r="B313" s="93" t="s">
        <v>313</v>
      </c>
      <c r="C313" s="94" t="s">
        <v>0</v>
      </c>
      <c r="D313" s="95">
        <v>2</v>
      </c>
      <c r="E313" s="96"/>
      <c r="F313" s="97"/>
      <c r="G313" s="19"/>
      <c r="J313" s="147"/>
      <c r="K313" s="147"/>
    </row>
    <row r="314" spans="2:11" x14ac:dyDescent="0.25">
      <c r="B314" s="93" t="s">
        <v>314</v>
      </c>
      <c r="C314" s="94" t="s">
        <v>0</v>
      </c>
      <c r="D314" s="96">
        <f>D312*D313</f>
        <v>12</v>
      </c>
      <c r="E314" s="96">
        <v>400</v>
      </c>
      <c r="F314" s="97">
        <f>D314*E314</f>
        <v>4800</v>
      </c>
      <c r="G314" s="19"/>
      <c r="J314" s="147"/>
      <c r="K314" s="147"/>
    </row>
    <row r="315" spans="2:11" x14ac:dyDescent="0.25">
      <c r="B315" s="99" t="s">
        <v>315</v>
      </c>
      <c r="C315" s="100" t="s">
        <v>316</v>
      </c>
      <c r="D315" s="198">
        <v>50000</v>
      </c>
      <c r="E315" s="102">
        <f>F312+F314</f>
        <v>13500</v>
      </c>
      <c r="F315" s="103">
        <f>IFERROR(E315/D315,"-")</f>
        <v>0.27</v>
      </c>
      <c r="G315" s="19"/>
      <c r="J315" s="147"/>
      <c r="K315" s="147"/>
    </row>
    <row r="316" spans="2:11" ht="13.5" thickBot="1" x14ac:dyDescent="0.3">
      <c r="B316" s="99" t="s">
        <v>317</v>
      </c>
      <c r="C316" s="100" t="s">
        <v>146</v>
      </c>
      <c r="D316" s="197">
        <f>$C$290</f>
        <v>6172.7380000000003</v>
      </c>
      <c r="E316" s="102">
        <f>F315</f>
        <v>0.27</v>
      </c>
      <c r="F316" s="103">
        <f>IFERROR(D316*E316,0)</f>
        <v>1666.6392600000001</v>
      </c>
      <c r="G316" s="19"/>
      <c r="J316" s="147"/>
      <c r="K316" s="147"/>
    </row>
    <row r="317" spans="2:11" ht="13.5" thickBot="1" x14ac:dyDescent="0.3">
      <c r="B317" s="16"/>
      <c r="C317" s="17"/>
      <c r="D317" s="17"/>
      <c r="E317" s="18"/>
      <c r="F317" s="18"/>
      <c r="G317" s="168">
        <f>F316</f>
        <v>1666.6392600000001</v>
      </c>
      <c r="H317" s="18">
        <f>G317*(1+$I$63)</f>
        <v>2089.632304188</v>
      </c>
      <c r="J317" s="147"/>
      <c r="K317" s="147"/>
    </row>
    <row r="318" spans="2:11" hidden="1" x14ac:dyDescent="0.25">
      <c r="B318" s="16" t="s">
        <v>318</v>
      </c>
      <c r="C318" s="17"/>
      <c r="D318" s="17"/>
      <c r="E318" s="18"/>
      <c r="F318" s="18"/>
      <c r="G318" s="19"/>
      <c r="J318" s="147"/>
      <c r="K318" s="147"/>
    </row>
    <row r="319" spans="2:11" hidden="1" x14ac:dyDescent="0.25">
      <c r="B319" s="16"/>
      <c r="C319" s="17"/>
      <c r="D319" s="17"/>
      <c r="E319" s="18"/>
      <c r="F319" s="18"/>
      <c r="G319" s="19"/>
      <c r="J319" s="147"/>
      <c r="K319" s="147"/>
    </row>
    <row r="320" spans="2:11" hidden="1" x14ac:dyDescent="0.25">
      <c r="B320" s="171" t="s">
        <v>263</v>
      </c>
      <c r="C320" s="17"/>
      <c r="D320" s="17"/>
      <c r="E320" s="18"/>
      <c r="F320" s="18"/>
      <c r="G320" s="19"/>
      <c r="J320" s="147"/>
      <c r="K320" s="147"/>
    </row>
    <row r="321" spans="2:11" ht="13.5" hidden="1" thickBot="1" x14ac:dyDescent="0.3">
      <c r="B321" s="89" t="s">
        <v>200</v>
      </c>
      <c r="C321" s="90" t="s">
        <v>201</v>
      </c>
      <c r="D321" s="90" t="s">
        <v>192</v>
      </c>
      <c r="E321" s="91" t="s">
        <v>202</v>
      </c>
      <c r="F321" s="91" t="s">
        <v>203</v>
      </c>
      <c r="G321" s="92" t="s">
        <v>204</v>
      </c>
      <c r="J321" s="147"/>
      <c r="K321" s="147"/>
    </row>
    <row r="322" spans="2:11" hidden="1" x14ac:dyDescent="0.25">
      <c r="B322" s="93" t="s">
        <v>264</v>
      </c>
      <c r="C322" s="94" t="s">
        <v>0</v>
      </c>
      <c r="D322" s="95">
        <v>1</v>
      </c>
      <c r="E322" s="135">
        <v>130000</v>
      </c>
      <c r="F322" s="97">
        <f>D322*E322</f>
        <v>130000</v>
      </c>
      <c r="G322" s="19"/>
      <c r="J322" s="147"/>
      <c r="K322" s="147"/>
    </row>
    <row r="323" spans="2:11" hidden="1" x14ac:dyDescent="0.25">
      <c r="B323" s="99" t="s">
        <v>265</v>
      </c>
      <c r="C323" s="100" t="s">
        <v>266</v>
      </c>
      <c r="D323" s="132">
        <v>5</v>
      </c>
      <c r="E323" s="102"/>
      <c r="F323" s="103"/>
      <c r="G323" s="19"/>
      <c r="J323" s="147"/>
      <c r="K323" s="147"/>
    </row>
    <row r="324" spans="2:11" hidden="1" x14ac:dyDescent="0.25">
      <c r="B324" s="99" t="s">
        <v>267</v>
      </c>
      <c r="C324" s="100" t="s">
        <v>266</v>
      </c>
      <c r="D324" s="132">
        <v>3</v>
      </c>
      <c r="E324" s="103"/>
      <c r="F324" s="103"/>
      <c r="G324" s="172"/>
      <c r="J324" s="147"/>
      <c r="K324" s="147"/>
    </row>
    <row r="325" spans="2:11" hidden="1" x14ac:dyDescent="0.25">
      <c r="B325" s="99" t="s">
        <v>268</v>
      </c>
      <c r="C325" s="100" t="s">
        <v>154</v>
      </c>
      <c r="D325" s="118">
        <f>IFERROR(VLOOKUP(D323,'[1]5. Depreciação'!C11:D25,2,FALSE),0)</f>
        <v>55.679999999999993</v>
      </c>
      <c r="E325" s="103">
        <f>F322</f>
        <v>130000</v>
      </c>
      <c r="F325" s="103">
        <f>D325*E325/100</f>
        <v>72383.999999999985</v>
      </c>
      <c r="G325" s="19"/>
      <c r="J325" s="147"/>
      <c r="K325" s="147"/>
    </row>
    <row r="326" spans="2:11" ht="13.5" hidden="1" thickBot="1" x14ac:dyDescent="0.3">
      <c r="B326" s="174" t="s">
        <v>269</v>
      </c>
      <c r="C326" s="175" t="s">
        <v>144</v>
      </c>
      <c r="D326" s="175">
        <f>D323*12</f>
        <v>60</v>
      </c>
      <c r="E326" s="178">
        <f>IF(D324&lt;=D323,F325,0)</f>
        <v>72383.999999999985</v>
      </c>
      <c r="F326" s="178">
        <f>IFERROR(E326/D326,0)</f>
        <v>1206.3999999999999</v>
      </c>
      <c r="G326" s="19"/>
      <c r="J326" s="147"/>
      <c r="K326" s="147"/>
    </row>
    <row r="327" spans="2:11" hidden="1" x14ac:dyDescent="0.25">
      <c r="B327" s="93" t="s">
        <v>270</v>
      </c>
      <c r="C327" s="94" t="s">
        <v>0</v>
      </c>
      <c r="D327" s="94">
        <f>D322</f>
        <v>1</v>
      </c>
      <c r="E327" s="135">
        <v>35000</v>
      </c>
      <c r="F327" s="97">
        <f>D327*E327</f>
        <v>35000</v>
      </c>
      <c r="G327" s="19"/>
      <c r="J327" s="147"/>
      <c r="K327" s="147"/>
    </row>
    <row r="328" spans="2:11" hidden="1" x14ac:dyDescent="0.25">
      <c r="B328" s="99" t="s">
        <v>271</v>
      </c>
      <c r="C328" s="100" t="s">
        <v>266</v>
      </c>
      <c r="D328" s="132">
        <v>5</v>
      </c>
      <c r="E328" s="103"/>
      <c r="F328" s="103"/>
      <c r="G328" s="19"/>
      <c r="J328" s="147"/>
      <c r="K328" s="147"/>
    </row>
    <row r="329" spans="2:11" hidden="1" x14ac:dyDescent="0.25">
      <c r="B329" s="99" t="s">
        <v>272</v>
      </c>
      <c r="C329" s="100" t="s">
        <v>266</v>
      </c>
      <c r="D329" s="132">
        <v>3</v>
      </c>
      <c r="E329" s="103"/>
      <c r="F329" s="103"/>
      <c r="G329" s="172"/>
      <c r="J329" s="147"/>
      <c r="K329" s="147"/>
    </row>
    <row r="330" spans="2:11" hidden="1" x14ac:dyDescent="0.25">
      <c r="B330" s="99" t="s">
        <v>273</v>
      </c>
      <c r="C330" s="100" t="s">
        <v>154</v>
      </c>
      <c r="D330" s="199">
        <f>IFERROR(VLOOKUP(D328,'[1]5. Depreciação'!C160:D174,2,FALSE),0)</f>
        <v>0</v>
      </c>
      <c r="E330" s="103">
        <f>F327</f>
        <v>35000</v>
      </c>
      <c r="F330" s="103">
        <f>D330*E330/100</f>
        <v>0</v>
      </c>
      <c r="G330" s="19"/>
      <c r="J330" s="147"/>
      <c r="K330" s="147"/>
    </row>
    <row r="331" spans="2:11" hidden="1" x14ac:dyDescent="0.25">
      <c r="B331" s="122" t="s">
        <v>274</v>
      </c>
      <c r="C331" s="179" t="s">
        <v>144</v>
      </c>
      <c r="D331" s="179">
        <f>D328*12</f>
        <v>60</v>
      </c>
      <c r="E331" s="123">
        <f>IF(D329&lt;=D328,F330,0)</f>
        <v>0</v>
      </c>
      <c r="F331" s="123">
        <f>IFERROR(E331/D331,0)</f>
        <v>0</v>
      </c>
      <c r="G331" s="19"/>
      <c r="J331" s="147"/>
      <c r="K331" s="147"/>
    </row>
    <row r="332" spans="2:11" hidden="1" x14ac:dyDescent="0.25">
      <c r="B332" s="106" t="s">
        <v>275</v>
      </c>
      <c r="C332" s="107"/>
      <c r="D332" s="107"/>
      <c r="E332" s="117"/>
      <c r="F332" s="110">
        <f>F326+F331</f>
        <v>1206.3999999999999</v>
      </c>
      <c r="G332" s="19"/>
      <c r="J332" s="147"/>
      <c r="K332" s="147"/>
    </row>
    <row r="333" spans="2:11" hidden="1" x14ac:dyDescent="0.25">
      <c r="B333" s="122" t="s">
        <v>276</v>
      </c>
      <c r="C333" s="179" t="s">
        <v>0</v>
      </c>
      <c r="D333" s="132"/>
      <c r="E333" s="123">
        <f>F332</f>
        <v>1206.3999999999999</v>
      </c>
      <c r="F333" s="110">
        <f>D333*E333</f>
        <v>0</v>
      </c>
      <c r="G333" s="19"/>
      <c r="J333" s="147"/>
      <c r="K333" s="147"/>
    </row>
    <row r="334" spans="2:11" ht="13.5" hidden="1" thickBot="1" x14ac:dyDescent="0.3">
      <c r="B334" s="183"/>
      <c r="C334" s="184"/>
      <c r="D334" s="184"/>
      <c r="E334" s="112" t="s">
        <v>215</v>
      </c>
      <c r="F334" s="133">
        <f>$C$58</f>
        <v>1</v>
      </c>
      <c r="G334" s="168">
        <f>F333*F334</f>
        <v>0</v>
      </c>
      <c r="J334" s="147"/>
      <c r="K334" s="147"/>
    </row>
    <row r="335" spans="2:11" hidden="1" x14ac:dyDescent="0.25">
      <c r="B335" s="16"/>
      <c r="C335" s="17"/>
      <c r="D335" s="17"/>
      <c r="E335" s="18"/>
      <c r="F335" s="18"/>
      <c r="G335" s="19"/>
      <c r="J335" s="147"/>
      <c r="K335" s="147"/>
    </row>
    <row r="336" spans="2:11" hidden="1" x14ac:dyDescent="0.25">
      <c r="B336" s="171" t="s">
        <v>277</v>
      </c>
      <c r="C336" s="17"/>
      <c r="D336" s="17"/>
      <c r="E336" s="18"/>
      <c r="F336" s="18"/>
      <c r="G336" s="19"/>
      <c r="J336" s="147"/>
      <c r="K336" s="147"/>
    </row>
    <row r="337" spans="2:11" ht="13.5" hidden="1" thickBot="1" x14ac:dyDescent="0.3">
      <c r="B337" s="200" t="s">
        <v>200</v>
      </c>
      <c r="C337" s="201" t="s">
        <v>201</v>
      </c>
      <c r="D337" s="201" t="s">
        <v>192</v>
      </c>
      <c r="E337" s="91" t="s">
        <v>202</v>
      </c>
      <c r="F337" s="202" t="s">
        <v>203</v>
      </c>
      <c r="G337" s="92" t="s">
        <v>204</v>
      </c>
      <c r="J337" s="147"/>
      <c r="K337" s="147"/>
    </row>
    <row r="338" spans="2:11" hidden="1" x14ac:dyDescent="0.25">
      <c r="B338" s="99" t="s">
        <v>278</v>
      </c>
      <c r="C338" s="100" t="s">
        <v>0</v>
      </c>
      <c r="D338" s="95">
        <v>1</v>
      </c>
      <c r="E338" s="103">
        <f>E322</f>
        <v>130000</v>
      </c>
      <c r="F338" s="103">
        <f>D338*E338</f>
        <v>130000</v>
      </c>
      <c r="G338" s="172"/>
      <c r="J338" s="147"/>
      <c r="K338" s="147"/>
    </row>
    <row r="339" spans="2:11" hidden="1" x14ac:dyDescent="0.25">
      <c r="B339" s="99" t="s">
        <v>319</v>
      </c>
      <c r="C339" s="100" t="s">
        <v>154</v>
      </c>
      <c r="D339" s="132">
        <v>6.5</v>
      </c>
      <c r="E339" s="103"/>
      <c r="F339" s="103"/>
      <c r="G339" s="172"/>
      <c r="J339" s="147"/>
      <c r="K339" s="147"/>
    </row>
    <row r="340" spans="2:11" hidden="1" x14ac:dyDescent="0.25">
      <c r="B340" s="99" t="s">
        <v>280</v>
      </c>
      <c r="C340" s="100" t="s">
        <v>209</v>
      </c>
      <c r="D340" s="185">
        <f>IFERROR(IF(D324&lt;=D323,F322-(D325/(100*D323)*D324)*F322,F322-F325),0)</f>
        <v>86569.600000000006</v>
      </c>
      <c r="E340" s="103"/>
      <c r="F340" s="103"/>
      <c r="G340" s="172"/>
      <c r="J340" s="147"/>
      <c r="K340" s="147"/>
    </row>
    <row r="341" spans="2:11" hidden="1" x14ac:dyDescent="0.25">
      <c r="B341" s="99" t="s">
        <v>281</v>
      </c>
      <c r="C341" s="100" t="s">
        <v>209</v>
      </c>
      <c r="D341" s="102">
        <f>IFERROR(IF(D324&gt;=D323,D340,((((D340)-(F322-F325))*(((D323-D324)+1)/(2*(D323-D324))))+(F322-F325))),0)</f>
        <v>79331.200000000012</v>
      </c>
      <c r="E341" s="103"/>
      <c r="F341" s="103"/>
      <c r="G341" s="172"/>
      <c r="J341" s="147"/>
      <c r="K341" s="147"/>
    </row>
    <row r="342" spans="2:11" ht="13.5" hidden="1" thickBot="1" x14ac:dyDescent="0.3">
      <c r="B342" s="174" t="s">
        <v>282</v>
      </c>
      <c r="C342" s="175" t="s">
        <v>209</v>
      </c>
      <c r="D342" s="175"/>
      <c r="E342" s="177">
        <f>D339*D341/12/100</f>
        <v>429.71066666666673</v>
      </c>
      <c r="F342" s="178">
        <f>E342</f>
        <v>429.71066666666673</v>
      </c>
      <c r="G342" s="172"/>
      <c r="J342" s="147"/>
      <c r="K342" s="147"/>
    </row>
    <row r="343" spans="2:11" hidden="1" x14ac:dyDescent="0.25">
      <c r="B343" s="93" t="s">
        <v>320</v>
      </c>
      <c r="C343" s="94" t="s">
        <v>0</v>
      </c>
      <c r="D343" s="94">
        <f>D327</f>
        <v>1</v>
      </c>
      <c r="E343" s="97">
        <f>E327</f>
        <v>35000</v>
      </c>
      <c r="F343" s="97">
        <f>D343*E343</f>
        <v>35000</v>
      </c>
      <c r="G343" s="172"/>
      <c r="J343" s="147"/>
      <c r="K343" s="147"/>
    </row>
    <row r="344" spans="2:11" hidden="1" x14ac:dyDescent="0.25">
      <c r="B344" s="99" t="s">
        <v>319</v>
      </c>
      <c r="C344" s="100" t="s">
        <v>154</v>
      </c>
      <c r="D344" s="105">
        <f>D339</f>
        <v>6.5</v>
      </c>
      <c r="E344" s="103"/>
      <c r="F344" s="103"/>
      <c r="G344" s="172"/>
      <c r="J344" s="147"/>
      <c r="K344" s="147"/>
    </row>
    <row r="345" spans="2:11" hidden="1" x14ac:dyDescent="0.25">
      <c r="B345" s="99" t="s">
        <v>284</v>
      </c>
      <c r="C345" s="100" t="s">
        <v>209</v>
      </c>
      <c r="D345" s="185">
        <f>IFERROR(IF(D329&lt;=D328,F327-(D330/(100*D328)*D329)*F327,F327-F330),0)</f>
        <v>35000</v>
      </c>
      <c r="E345" s="103"/>
      <c r="F345" s="103"/>
      <c r="G345" s="172"/>
      <c r="J345" s="147"/>
      <c r="K345" s="147"/>
    </row>
    <row r="346" spans="2:11" hidden="1" x14ac:dyDescent="0.25">
      <c r="B346" s="99" t="s">
        <v>285</v>
      </c>
      <c r="C346" s="100" t="s">
        <v>209</v>
      </c>
      <c r="D346" s="102">
        <f>IFERROR(IF(D329&gt;=D328,D345,((((D345)-(F327-F330))*(((D328-D329)+1)/(2*(D328-D329))))+(F327-F330))),0)</f>
        <v>35000</v>
      </c>
      <c r="E346" s="103"/>
      <c r="F346" s="103"/>
      <c r="G346" s="172"/>
      <c r="J346" s="147"/>
      <c r="K346" s="147"/>
    </row>
    <row r="347" spans="2:11" hidden="1" x14ac:dyDescent="0.25">
      <c r="B347" s="122" t="s">
        <v>286</v>
      </c>
      <c r="C347" s="179" t="s">
        <v>209</v>
      </c>
      <c r="D347" s="179"/>
      <c r="E347" s="181">
        <f>D344*D346/12/100</f>
        <v>189.58333333333331</v>
      </c>
      <c r="F347" s="123">
        <f>E347</f>
        <v>189.58333333333331</v>
      </c>
      <c r="G347" s="172"/>
      <c r="J347" s="147"/>
      <c r="K347" s="147"/>
    </row>
    <row r="348" spans="2:11" hidden="1" x14ac:dyDescent="0.25">
      <c r="B348" s="106" t="s">
        <v>275</v>
      </c>
      <c r="C348" s="107"/>
      <c r="D348" s="107"/>
      <c r="E348" s="117"/>
      <c r="F348" s="110">
        <f>F342+F347</f>
        <v>619.2940000000001</v>
      </c>
      <c r="G348" s="172"/>
      <c r="J348" s="147"/>
      <c r="K348" s="147"/>
    </row>
    <row r="349" spans="2:11" hidden="1" x14ac:dyDescent="0.25">
      <c r="B349" s="122" t="s">
        <v>276</v>
      </c>
      <c r="C349" s="179" t="s">
        <v>0</v>
      </c>
      <c r="D349" s="105">
        <f>D333</f>
        <v>0</v>
      </c>
      <c r="E349" s="123">
        <f>F348</f>
        <v>619.2940000000001</v>
      </c>
      <c r="F349" s="110">
        <f>D349*E349</f>
        <v>0</v>
      </c>
      <c r="G349" s="172"/>
      <c r="J349" s="147"/>
      <c r="K349" s="147"/>
    </row>
    <row r="350" spans="2:11" ht="13.5" hidden="1" thickBot="1" x14ac:dyDescent="0.3">
      <c r="B350" s="16"/>
      <c r="C350" s="17"/>
      <c r="D350" s="187"/>
      <c r="E350" s="112" t="s">
        <v>215</v>
      </c>
      <c r="F350" s="133">
        <f>$C$58</f>
        <v>1</v>
      </c>
      <c r="G350" s="168">
        <f>F349*F350</f>
        <v>0</v>
      </c>
      <c r="J350" s="147"/>
      <c r="K350" s="147"/>
    </row>
    <row r="351" spans="2:11" hidden="1" x14ac:dyDescent="0.25">
      <c r="B351" s="16"/>
      <c r="C351" s="17"/>
      <c r="D351" s="17"/>
      <c r="E351" s="18"/>
      <c r="F351" s="18"/>
      <c r="G351" s="19"/>
      <c r="J351" s="147"/>
      <c r="K351" s="147"/>
    </row>
    <row r="352" spans="2:11" hidden="1" x14ac:dyDescent="0.25">
      <c r="B352" s="16" t="s">
        <v>287</v>
      </c>
      <c r="C352" s="17"/>
      <c r="D352" s="17"/>
      <c r="E352" s="18"/>
      <c r="F352" s="18"/>
      <c r="G352" s="19"/>
      <c r="J352" s="147"/>
      <c r="K352" s="147"/>
    </row>
    <row r="353" spans="2:11" ht="13.5" hidden="1" thickBot="1" x14ac:dyDescent="0.3">
      <c r="B353" s="89" t="s">
        <v>200</v>
      </c>
      <c r="C353" s="90" t="s">
        <v>201</v>
      </c>
      <c r="D353" s="90" t="s">
        <v>192</v>
      </c>
      <c r="E353" s="91" t="s">
        <v>202</v>
      </c>
      <c r="F353" s="91" t="s">
        <v>203</v>
      </c>
      <c r="G353" s="92" t="s">
        <v>204</v>
      </c>
      <c r="J353" s="147"/>
      <c r="K353" s="147"/>
    </row>
    <row r="354" spans="2:11" hidden="1" x14ac:dyDescent="0.25">
      <c r="B354" s="93" t="s">
        <v>180</v>
      </c>
      <c r="C354" s="94" t="s">
        <v>0</v>
      </c>
      <c r="D354" s="97">
        <f>D333</f>
        <v>0</v>
      </c>
      <c r="E354" s="97">
        <f>0.01*($F$251)</f>
        <v>1720</v>
      </c>
      <c r="F354" s="97">
        <f>D354*E354</f>
        <v>0</v>
      </c>
      <c r="G354" s="19"/>
      <c r="J354" s="147"/>
      <c r="K354" s="147"/>
    </row>
    <row r="355" spans="2:11" hidden="1" x14ac:dyDescent="0.25">
      <c r="B355" s="99" t="s">
        <v>288</v>
      </c>
      <c r="C355" s="100" t="s">
        <v>0</v>
      </c>
      <c r="D355" s="97">
        <f>D333</f>
        <v>0</v>
      </c>
      <c r="E355" s="203">
        <v>150</v>
      </c>
      <c r="F355" s="103">
        <f>D355*E355</f>
        <v>0</v>
      </c>
      <c r="G355" s="19"/>
      <c r="J355" s="147"/>
      <c r="K355" s="147"/>
    </row>
    <row r="356" spans="2:11" hidden="1" x14ac:dyDescent="0.25">
      <c r="B356" s="99" t="s">
        <v>289</v>
      </c>
      <c r="C356" s="100" t="s">
        <v>0</v>
      </c>
      <c r="D356" s="97">
        <f>D333</f>
        <v>0</v>
      </c>
      <c r="E356" s="203">
        <v>2300</v>
      </c>
      <c r="F356" s="103">
        <f>D356*E356</f>
        <v>0</v>
      </c>
      <c r="G356" s="188"/>
      <c r="J356" s="147"/>
      <c r="K356" s="147"/>
    </row>
    <row r="357" spans="2:11" hidden="1" x14ac:dyDescent="0.25">
      <c r="B357" s="122" t="s">
        <v>290</v>
      </c>
      <c r="C357" s="179" t="s">
        <v>144</v>
      </c>
      <c r="D357" s="179">
        <v>12</v>
      </c>
      <c r="E357" s="123">
        <f>SUM(F354:F356)</f>
        <v>0</v>
      </c>
      <c r="F357" s="123">
        <f>E357/D357</f>
        <v>0</v>
      </c>
      <c r="G357" s="19"/>
      <c r="J357" s="147"/>
      <c r="K357" s="147"/>
    </row>
    <row r="358" spans="2:11" ht="13.5" hidden="1" thickBot="1" x14ac:dyDescent="0.3">
      <c r="B358" s="16"/>
      <c r="C358" s="17"/>
      <c r="D358" s="17"/>
      <c r="E358" s="112" t="s">
        <v>215</v>
      </c>
      <c r="F358" s="133">
        <f>$C$58</f>
        <v>1</v>
      </c>
      <c r="G358" s="114">
        <f>F357*F358</f>
        <v>0</v>
      </c>
      <c r="J358" s="147"/>
      <c r="K358" s="147"/>
    </row>
    <row r="359" spans="2:11" hidden="1" x14ac:dyDescent="0.25">
      <c r="B359" s="16"/>
      <c r="C359" s="17"/>
      <c r="D359" s="17"/>
      <c r="E359" s="18"/>
      <c r="F359" s="18"/>
      <c r="G359" s="19"/>
      <c r="J359" s="147"/>
      <c r="K359" s="147"/>
    </row>
    <row r="360" spans="2:11" hidden="1" x14ac:dyDescent="0.25">
      <c r="B360" s="16" t="s">
        <v>291</v>
      </c>
      <c r="C360" s="189"/>
      <c r="D360" s="17"/>
      <c r="E360" s="18"/>
      <c r="F360" s="18"/>
      <c r="G360" s="19"/>
      <c r="J360" s="147"/>
      <c r="K360" s="147"/>
    </row>
    <row r="361" spans="2:11" hidden="1" x14ac:dyDescent="0.25">
      <c r="B361" s="16"/>
      <c r="C361" s="189"/>
      <c r="D361" s="17"/>
      <c r="E361" s="18"/>
      <c r="F361" s="18"/>
      <c r="G361" s="19"/>
      <c r="J361" s="147"/>
      <c r="K361" s="147"/>
    </row>
    <row r="362" spans="2:11" hidden="1" x14ac:dyDescent="0.25">
      <c r="B362" s="122" t="s">
        <v>292</v>
      </c>
      <c r="C362" s="204"/>
      <c r="D362" s="17"/>
      <c r="E362" s="18"/>
      <c r="F362" s="18"/>
      <c r="G362" s="19"/>
      <c r="J362" s="147"/>
      <c r="K362" s="147"/>
    </row>
    <row r="363" spans="2:11" hidden="1" x14ac:dyDescent="0.25">
      <c r="B363" s="16"/>
      <c r="C363" s="189"/>
      <c r="D363" s="17"/>
      <c r="E363" s="18"/>
      <c r="F363" s="18"/>
      <c r="G363" s="19"/>
      <c r="J363" s="147"/>
      <c r="K363" s="147"/>
    </row>
    <row r="364" spans="2:11" ht="13.5" hidden="1" thickBot="1" x14ac:dyDescent="0.3">
      <c r="B364" s="89" t="s">
        <v>200</v>
      </c>
      <c r="C364" s="90" t="s">
        <v>201</v>
      </c>
      <c r="D364" s="90" t="s">
        <v>293</v>
      </c>
      <c r="E364" s="91" t="s">
        <v>202</v>
      </c>
      <c r="F364" s="91" t="s">
        <v>203</v>
      </c>
      <c r="G364" s="92" t="s">
        <v>204</v>
      </c>
      <c r="J364" s="147"/>
      <c r="K364" s="147"/>
    </row>
    <row r="365" spans="2:11" hidden="1" x14ac:dyDescent="0.25">
      <c r="B365" s="93" t="s">
        <v>294</v>
      </c>
      <c r="C365" s="94" t="s">
        <v>295</v>
      </c>
      <c r="D365" s="205">
        <v>2.2000000000000002</v>
      </c>
      <c r="E365" s="206">
        <v>3.34</v>
      </c>
      <c r="F365" s="97"/>
      <c r="G365" s="19"/>
      <c r="J365" s="147"/>
      <c r="K365" s="147"/>
    </row>
    <row r="366" spans="2:11" hidden="1" x14ac:dyDescent="0.25">
      <c r="B366" s="99" t="s">
        <v>296</v>
      </c>
      <c r="C366" s="100" t="s">
        <v>146</v>
      </c>
      <c r="D366" s="207">
        <f>C362</f>
        <v>0</v>
      </c>
      <c r="E366" s="208">
        <f>IFERROR(+E365/D365,"-")</f>
        <v>1.5181818181818181</v>
      </c>
      <c r="F366" s="103">
        <f>IFERROR(D366*E366,"-")</f>
        <v>0</v>
      </c>
      <c r="G366" s="19"/>
      <c r="J366" s="147"/>
      <c r="K366" s="147"/>
    </row>
    <row r="367" spans="2:11" hidden="1" x14ac:dyDescent="0.25">
      <c r="B367" s="99" t="s">
        <v>297</v>
      </c>
      <c r="C367" s="100" t="s">
        <v>298</v>
      </c>
      <c r="D367" s="209">
        <v>6</v>
      </c>
      <c r="E367" s="203">
        <v>13</v>
      </c>
      <c r="F367" s="103"/>
      <c r="G367" s="19"/>
      <c r="J367" s="147"/>
      <c r="K367" s="147"/>
    </row>
    <row r="368" spans="2:11" hidden="1" x14ac:dyDescent="0.25">
      <c r="B368" s="99" t="s">
        <v>299</v>
      </c>
      <c r="C368" s="100" t="s">
        <v>146</v>
      </c>
      <c r="D368" s="207">
        <f>D366</f>
        <v>0</v>
      </c>
      <c r="E368" s="210">
        <f>+D367*E367/1000</f>
        <v>7.8E-2</v>
      </c>
      <c r="F368" s="103">
        <f>D368*E368</f>
        <v>0</v>
      </c>
      <c r="G368" s="19"/>
      <c r="J368" s="147"/>
      <c r="K368" s="147"/>
    </row>
    <row r="369" spans="2:11" hidden="1" x14ac:dyDescent="0.25">
      <c r="B369" s="99" t="s">
        <v>300</v>
      </c>
      <c r="C369" s="100" t="s">
        <v>298</v>
      </c>
      <c r="D369" s="209">
        <v>0.85</v>
      </c>
      <c r="E369" s="203">
        <v>15.8</v>
      </c>
      <c r="F369" s="103"/>
      <c r="G369" s="19"/>
      <c r="J369" s="147"/>
      <c r="K369" s="147"/>
    </row>
    <row r="370" spans="2:11" hidden="1" x14ac:dyDescent="0.25">
      <c r="B370" s="99" t="s">
        <v>301</v>
      </c>
      <c r="C370" s="100" t="s">
        <v>146</v>
      </c>
      <c r="D370" s="207">
        <f>D366</f>
        <v>0</v>
      </c>
      <c r="E370" s="210">
        <f>+D369*E369/1000</f>
        <v>1.3429999999999999E-2</v>
      </c>
      <c r="F370" s="103">
        <f>D370*E370</f>
        <v>0</v>
      </c>
      <c r="G370" s="19"/>
      <c r="J370" s="147"/>
      <c r="K370" s="147"/>
    </row>
    <row r="371" spans="2:11" hidden="1" x14ac:dyDescent="0.25">
      <c r="B371" s="99" t="s">
        <v>302</v>
      </c>
      <c r="C371" s="100" t="s">
        <v>298</v>
      </c>
      <c r="D371" s="209">
        <v>16</v>
      </c>
      <c r="E371" s="203">
        <v>8.25</v>
      </c>
      <c r="F371" s="103"/>
      <c r="G371" s="19"/>
      <c r="J371" s="147"/>
      <c r="K371" s="147"/>
    </row>
    <row r="372" spans="2:11" hidden="1" x14ac:dyDescent="0.25">
      <c r="B372" s="99" t="s">
        <v>303</v>
      </c>
      <c r="C372" s="100" t="s">
        <v>146</v>
      </c>
      <c r="D372" s="207">
        <f>D366</f>
        <v>0</v>
      </c>
      <c r="E372" s="210">
        <f>+D371*E371/1000</f>
        <v>0.13200000000000001</v>
      </c>
      <c r="F372" s="103">
        <f>D372*E372</f>
        <v>0</v>
      </c>
      <c r="G372" s="19"/>
      <c r="J372" s="147"/>
      <c r="K372" s="147"/>
    </row>
    <row r="373" spans="2:11" hidden="1" x14ac:dyDescent="0.25">
      <c r="B373" s="99" t="s">
        <v>304</v>
      </c>
      <c r="C373" s="100" t="s">
        <v>305</v>
      </c>
      <c r="D373" s="209">
        <v>2</v>
      </c>
      <c r="E373" s="203">
        <v>5.4</v>
      </c>
      <c r="F373" s="103"/>
      <c r="G373" s="19"/>
      <c r="J373" s="147"/>
      <c r="K373" s="147"/>
    </row>
    <row r="374" spans="2:11" hidden="1" x14ac:dyDescent="0.25">
      <c r="B374" s="99" t="s">
        <v>306</v>
      </c>
      <c r="C374" s="100" t="s">
        <v>146</v>
      </c>
      <c r="D374" s="207">
        <f>D366</f>
        <v>0</v>
      </c>
      <c r="E374" s="210">
        <f>+D373*E373/1000</f>
        <v>1.0800000000000001E-2</v>
      </c>
      <c r="F374" s="103">
        <f>D374*E374</f>
        <v>0</v>
      </c>
      <c r="G374" s="19"/>
      <c r="J374" s="147"/>
      <c r="K374" s="147"/>
    </row>
    <row r="375" spans="2:11" hidden="1" x14ac:dyDescent="0.25">
      <c r="B375" s="122" t="s">
        <v>307</v>
      </c>
      <c r="C375" s="179" t="s">
        <v>308</v>
      </c>
      <c r="D375" s="195"/>
      <c r="E375" s="196">
        <f>IFERROR(E366+E368+E370+E372+E374,0)</f>
        <v>1.752411818181818</v>
      </c>
      <c r="F375" s="103"/>
      <c r="G375" s="19"/>
      <c r="J375" s="147"/>
      <c r="K375" s="147"/>
    </row>
    <row r="376" spans="2:11" ht="13.5" hidden="1" thickBot="1" x14ac:dyDescent="0.3">
      <c r="B376" s="16"/>
      <c r="C376" s="17"/>
      <c r="D376" s="17"/>
      <c r="E376" s="18"/>
      <c r="F376" s="18"/>
      <c r="G376" s="168">
        <f>SUM(F365:F374)</f>
        <v>0</v>
      </c>
      <c r="J376" s="147"/>
      <c r="K376" s="147"/>
    </row>
    <row r="377" spans="2:11" hidden="1" x14ac:dyDescent="0.25">
      <c r="B377" s="16"/>
      <c r="C377" s="17"/>
      <c r="D377" s="17"/>
      <c r="E377" s="18"/>
      <c r="F377" s="18"/>
      <c r="G377" s="19"/>
      <c r="J377" s="147"/>
      <c r="K377" s="147"/>
    </row>
    <row r="378" spans="2:11" hidden="1" x14ac:dyDescent="0.25">
      <c r="B378" s="16" t="s">
        <v>309</v>
      </c>
      <c r="C378" s="17"/>
      <c r="D378" s="17"/>
      <c r="E378" s="18"/>
      <c r="F378" s="18"/>
      <c r="G378" s="19"/>
      <c r="J378" s="147"/>
      <c r="K378" s="147"/>
    </row>
    <row r="379" spans="2:11" ht="13.5" hidden="1" thickBot="1" x14ac:dyDescent="0.3">
      <c r="B379" s="89" t="s">
        <v>200</v>
      </c>
      <c r="C379" s="90" t="s">
        <v>201</v>
      </c>
      <c r="D379" s="90" t="s">
        <v>192</v>
      </c>
      <c r="E379" s="91" t="s">
        <v>202</v>
      </c>
      <c r="F379" s="91" t="s">
        <v>203</v>
      </c>
      <c r="G379" s="92" t="s">
        <v>204</v>
      </c>
      <c r="J379" s="147"/>
      <c r="K379" s="147"/>
    </row>
    <row r="380" spans="2:11" hidden="1" x14ac:dyDescent="0.25">
      <c r="B380" s="93" t="s">
        <v>310</v>
      </c>
      <c r="C380" s="94" t="s">
        <v>308</v>
      </c>
      <c r="D380" s="207">
        <f>D366</f>
        <v>0</v>
      </c>
      <c r="E380" s="135">
        <v>0.74</v>
      </c>
      <c r="F380" s="97">
        <f>D380*E380</f>
        <v>0</v>
      </c>
      <c r="G380" s="19"/>
      <c r="J380" s="147"/>
      <c r="K380" s="147"/>
    </row>
    <row r="381" spans="2:11" ht="13.5" hidden="1" thickBot="1" x14ac:dyDescent="0.3">
      <c r="B381" s="16"/>
      <c r="C381" s="17"/>
      <c r="D381" s="17"/>
      <c r="E381" s="18"/>
      <c r="F381" s="18"/>
      <c r="G381" s="168">
        <f>F380</f>
        <v>0</v>
      </c>
      <c r="J381" s="147"/>
      <c r="K381" s="147"/>
    </row>
    <row r="382" spans="2:11" hidden="1" x14ac:dyDescent="0.25">
      <c r="B382" s="16"/>
      <c r="C382" s="17"/>
      <c r="D382" s="17"/>
      <c r="E382" s="18"/>
      <c r="F382" s="18"/>
      <c r="G382" s="19"/>
      <c r="J382" s="147"/>
      <c r="K382" s="147"/>
    </row>
    <row r="383" spans="2:11" hidden="1" x14ac:dyDescent="0.25">
      <c r="B383" s="16" t="s">
        <v>311</v>
      </c>
      <c r="C383" s="17"/>
      <c r="D383" s="17"/>
      <c r="E383" s="18"/>
      <c r="F383" s="18"/>
      <c r="G383" s="19"/>
      <c r="J383" s="147"/>
      <c r="K383" s="147"/>
    </row>
    <row r="384" spans="2:11" ht="13.5" hidden="1" thickBot="1" x14ac:dyDescent="0.3">
      <c r="B384" s="89" t="s">
        <v>200</v>
      </c>
      <c r="C384" s="90" t="s">
        <v>201</v>
      </c>
      <c r="D384" s="90" t="s">
        <v>192</v>
      </c>
      <c r="E384" s="91" t="s">
        <v>202</v>
      </c>
      <c r="F384" s="91" t="s">
        <v>203</v>
      </c>
      <c r="G384" s="92" t="s">
        <v>204</v>
      </c>
      <c r="J384" s="147"/>
      <c r="K384" s="147"/>
    </row>
    <row r="385" spans="2:11" hidden="1" x14ac:dyDescent="0.25">
      <c r="B385" s="93" t="s">
        <v>312</v>
      </c>
      <c r="C385" s="94" t="s">
        <v>0</v>
      </c>
      <c r="D385" s="211">
        <v>6</v>
      </c>
      <c r="E385" s="135">
        <v>1450</v>
      </c>
      <c r="F385" s="97">
        <f>D385*E385</f>
        <v>8700</v>
      </c>
      <c r="G385" s="19"/>
      <c r="J385" s="147"/>
      <c r="K385" s="147"/>
    </row>
    <row r="386" spans="2:11" hidden="1" x14ac:dyDescent="0.25">
      <c r="B386" s="93" t="s">
        <v>313</v>
      </c>
      <c r="C386" s="94" t="s">
        <v>0</v>
      </c>
      <c r="D386" s="211">
        <v>2</v>
      </c>
      <c r="E386" s="96"/>
      <c r="F386" s="97"/>
      <c r="G386" s="19"/>
      <c r="J386" s="147"/>
      <c r="K386" s="147"/>
    </row>
    <row r="387" spans="2:11" hidden="1" x14ac:dyDescent="0.25">
      <c r="B387" s="93" t="s">
        <v>314</v>
      </c>
      <c r="C387" s="94" t="s">
        <v>0</v>
      </c>
      <c r="D387" s="97">
        <f>D385*D386</f>
        <v>12</v>
      </c>
      <c r="E387" s="135">
        <v>450</v>
      </c>
      <c r="F387" s="97">
        <f>D387*E387</f>
        <v>5400</v>
      </c>
      <c r="G387" s="19"/>
      <c r="J387" s="147"/>
      <c r="K387" s="147"/>
    </row>
    <row r="388" spans="2:11" hidden="1" x14ac:dyDescent="0.25">
      <c r="B388" s="99" t="s">
        <v>315</v>
      </c>
      <c r="C388" s="100" t="s">
        <v>316</v>
      </c>
      <c r="D388" s="212">
        <v>60000</v>
      </c>
      <c r="E388" s="103">
        <f>F385+F387</f>
        <v>14100</v>
      </c>
      <c r="F388" s="103">
        <f>IFERROR(E388/D388,"-")</f>
        <v>0.23499999999999999</v>
      </c>
      <c r="G388" s="19"/>
      <c r="J388" s="147"/>
      <c r="K388" s="147"/>
    </row>
    <row r="389" spans="2:11" hidden="1" x14ac:dyDescent="0.25">
      <c r="B389" s="99" t="s">
        <v>317</v>
      </c>
      <c r="C389" s="100" t="s">
        <v>146</v>
      </c>
      <c r="D389" s="207">
        <f>C362</f>
        <v>0</v>
      </c>
      <c r="E389" s="103">
        <f>F388</f>
        <v>0.23499999999999999</v>
      </c>
      <c r="F389" s="103">
        <f>IFERROR(D389*E389,0)</f>
        <v>0</v>
      </c>
      <c r="G389" s="19"/>
      <c r="J389" s="147"/>
      <c r="K389" s="147"/>
    </row>
    <row r="390" spans="2:11" ht="13.5" hidden="1" thickBot="1" x14ac:dyDescent="0.3">
      <c r="B390" s="16"/>
      <c r="C390" s="17"/>
      <c r="D390" s="17"/>
      <c r="E390" s="18"/>
      <c r="F390" s="18"/>
      <c r="G390" s="168">
        <f>F389</f>
        <v>0</v>
      </c>
      <c r="J390" s="147"/>
      <c r="K390" s="147"/>
    </row>
    <row r="391" spans="2:11" hidden="1" x14ac:dyDescent="0.25">
      <c r="B391" s="16"/>
      <c r="C391" s="17"/>
      <c r="D391" s="17"/>
      <c r="E391" s="18"/>
      <c r="F391" s="18"/>
      <c r="G391" s="134"/>
      <c r="J391" s="147"/>
      <c r="K391" s="147"/>
    </row>
    <row r="392" spans="2:11" ht="11.25" customHeight="1" thickBot="1" x14ac:dyDescent="0.3">
      <c r="B392" s="16"/>
      <c r="C392" s="17"/>
      <c r="D392" s="17"/>
      <c r="E392" s="18"/>
      <c r="F392" s="18"/>
      <c r="G392" s="19"/>
      <c r="H392" s="17"/>
    </row>
    <row r="393" spans="2:11" ht="13.5" thickBot="1" x14ac:dyDescent="0.3">
      <c r="B393" s="153" t="s">
        <v>321</v>
      </c>
      <c r="C393" s="154"/>
      <c r="D393" s="154"/>
      <c r="E393" s="62"/>
      <c r="F393" s="155"/>
      <c r="G393" s="168">
        <f>+SUM(G251:G391)</f>
        <v>19385.821725073332</v>
      </c>
      <c r="H393" s="146"/>
      <c r="I393" s="151"/>
      <c r="J393" s="147"/>
    </row>
    <row r="394" spans="2:11" ht="11.25" customHeight="1" x14ac:dyDescent="0.25">
      <c r="B394" s="16"/>
      <c r="C394" s="17"/>
      <c r="D394" s="17"/>
      <c r="E394" s="18"/>
      <c r="F394" s="18"/>
      <c r="G394" s="19"/>
      <c r="H394" s="17"/>
    </row>
    <row r="395" spans="2:11" x14ac:dyDescent="0.25">
      <c r="B395" s="88" t="s">
        <v>322</v>
      </c>
      <c r="C395" s="47"/>
      <c r="D395" s="47"/>
      <c r="E395" s="46"/>
      <c r="F395" s="46"/>
      <c r="G395" s="134"/>
      <c r="H395" s="17"/>
    </row>
    <row r="396" spans="2:11" ht="11.25" customHeight="1" thickBot="1" x14ac:dyDescent="0.3">
      <c r="B396" s="16"/>
      <c r="C396" s="17"/>
      <c r="D396" s="17"/>
      <c r="E396" s="18"/>
      <c r="F396" s="18"/>
      <c r="G396" s="19"/>
      <c r="H396" s="17"/>
    </row>
    <row r="397" spans="2:11" ht="13.5" thickBot="1" x14ac:dyDescent="0.3">
      <c r="B397" s="89" t="s">
        <v>200</v>
      </c>
      <c r="C397" s="90" t="s">
        <v>201</v>
      </c>
      <c r="D397" s="90" t="s">
        <v>192</v>
      </c>
      <c r="E397" s="91" t="s">
        <v>202</v>
      </c>
      <c r="F397" s="91" t="s">
        <v>203</v>
      </c>
      <c r="G397" s="92" t="s">
        <v>204</v>
      </c>
      <c r="H397" s="17"/>
    </row>
    <row r="398" spans="2:11" x14ac:dyDescent="0.25">
      <c r="B398" s="99" t="s">
        <v>323</v>
      </c>
      <c r="C398" s="100" t="s">
        <v>0</v>
      </c>
      <c r="D398" s="102">
        <f>1/12</f>
        <v>8.3333333333333329E-2</v>
      </c>
      <c r="E398" s="96">
        <v>42</v>
      </c>
      <c r="F398" s="103">
        <f>D398*E398</f>
        <v>3.5</v>
      </c>
      <c r="G398" s="213"/>
      <c r="H398" s="17"/>
    </row>
    <row r="399" spans="2:11" x14ac:dyDescent="0.25">
      <c r="B399" s="99" t="s">
        <v>324</v>
      </c>
      <c r="C399" s="100" t="s">
        <v>0</v>
      </c>
      <c r="D399" s="102">
        <f>1/12</f>
        <v>8.3333333333333329E-2</v>
      </c>
      <c r="E399" s="96">
        <v>16</v>
      </c>
      <c r="F399" s="103">
        <f>D399*E399</f>
        <v>1.3333333333333333</v>
      </c>
      <c r="G399" s="213"/>
      <c r="H399" s="17"/>
    </row>
    <row r="400" spans="2:11" x14ac:dyDescent="0.25">
      <c r="B400" s="99" t="s">
        <v>325</v>
      </c>
      <c r="C400" s="100" t="s">
        <v>0</v>
      </c>
      <c r="D400" s="103">
        <f>1/2</f>
        <v>0.5</v>
      </c>
      <c r="E400" s="96">
        <v>15</v>
      </c>
      <c r="F400" s="103">
        <f>D400*E400</f>
        <v>7.5</v>
      </c>
      <c r="G400" s="213"/>
      <c r="H400" s="17"/>
    </row>
    <row r="401" spans="2:8" x14ac:dyDescent="0.25">
      <c r="B401" s="99" t="s">
        <v>326</v>
      </c>
      <c r="C401" s="100" t="s">
        <v>141</v>
      </c>
      <c r="D401" s="102">
        <f>1/12</f>
        <v>8.3333333333333329E-2</v>
      </c>
      <c r="E401" s="96">
        <v>250</v>
      </c>
      <c r="F401" s="103">
        <f>D401*E401</f>
        <v>20.833333333333332</v>
      </c>
      <c r="G401" s="213"/>
      <c r="H401" s="17"/>
    </row>
    <row r="402" spans="2:8" x14ac:dyDescent="0.25">
      <c r="B402" s="99" t="s">
        <v>327</v>
      </c>
      <c r="C402" s="100" t="s">
        <v>141</v>
      </c>
      <c r="D402" s="102">
        <f>1/12</f>
        <v>8.3333333333333329E-2</v>
      </c>
      <c r="E402" s="96">
        <v>50</v>
      </c>
      <c r="F402" s="103">
        <f>D402*E402</f>
        <v>4.1666666666666661</v>
      </c>
      <c r="G402" s="213"/>
      <c r="H402" s="17"/>
    </row>
    <row r="403" spans="2:8" ht="13.5" thickBot="1" x14ac:dyDescent="0.3">
      <c r="B403" s="122" t="s">
        <v>328</v>
      </c>
      <c r="C403" s="179" t="s">
        <v>0</v>
      </c>
      <c r="D403" s="111">
        <f>F43</f>
        <v>6</v>
      </c>
      <c r="E403" s="102">
        <f>SUM(F399:F400)</f>
        <v>8.8333333333333339</v>
      </c>
      <c r="F403" s="103">
        <f>D403*E403+(F398+F401+F402)*F56</f>
        <v>110</v>
      </c>
      <c r="G403" s="214"/>
      <c r="H403" s="17"/>
    </row>
    <row r="404" spans="2:8" ht="11.25" customHeight="1" thickBot="1" x14ac:dyDescent="0.3">
      <c r="B404" s="16"/>
      <c r="C404" s="17"/>
      <c r="D404" s="17"/>
      <c r="E404" s="112" t="s">
        <v>215</v>
      </c>
      <c r="F404" s="113">
        <f>$C$58</f>
        <v>1</v>
      </c>
      <c r="G404" s="114">
        <f>F403*F404</f>
        <v>110</v>
      </c>
      <c r="H404" s="17"/>
    </row>
    <row r="405" spans="2:8" ht="11.25" customHeight="1" thickBot="1" x14ac:dyDescent="0.3">
      <c r="B405" s="16"/>
      <c r="C405" s="17"/>
      <c r="D405" s="17"/>
      <c r="E405" s="18"/>
      <c r="F405" s="18"/>
      <c r="G405" s="19"/>
      <c r="H405" s="17"/>
    </row>
    <row r="406" spans="2:8" ht="13.5" thickBot="1" x14ac:dyDescent="0.3">
      <c r="B406" s="153" t="s">
        <v>329</v>
      </c>
      <c r="C406" s="154"/>
      <c r="D406" s="154"/>
      <c r="E406" s="62"/>
      <c r="F406" s="155"/>
      <c r="G406" s="168">
        <f>G404</f>
        <v>110</v>
      </c>
      <c r="H406" s="18">
        <f>G406*(1+$I$63)</f>
        <v>137.91800000000001</v>
      </c>
    </row>
    <row r="407" spans="2:8" ht="11.25" customHeight="1" x14ac:dyDescent="0.25">
      <c r="B407" s="16"/>
      <c r="C407" s="17"/>
      <c r="D407" s="17"/>
      <c r="E407" s="18"/>
      <c r="F407" s="18"/>
      <c r="G407" s="19"/>
      <c r="H407" s="17"/>
    </row>
    <row r="408" spans="2:8" x14ac:dyDescent="0.25">
      <c r="B408" s="88" t="s">
        <v>330</v>
      </c>
      <c r="C408" s="47"/>
      <c r="D408" s="47"/>
      <c r="E408" s="46"/>
      <c r="F408" s="46"/>
      <c r="G408" s="134"/>
    </row>
    <row r="409" spans="2:8" ht="11.25" customHeight="1" thickBot="1" x14ac:dyDescent="0.3">
      <c r="B409" s="16"/>
      <c r="C409" s="17"/>
      <c r="D409" s="17"/>
      <c r="E409" s="18"/>
      <c r="F409" s="18"/>
      <c r="G409" s="19"/>
    </row>
    <row r="410" spans="2:8" ht="13.5" thickBot="1" x14ac:dyDescent="0.3">
      <c r="B410" s="89" t="s">
        <v>200</v>
      </c>
      <c r="C410" s="90" t="s">
        <v>201</v>
      </c>
      <c r="D410" s="90" t="s">
        <v>192</v>
      </c>
      <c r="E410" s="91" t="s">
        <v>202</v>
      </c>
      <c r="F410" s="91" t="s">
        <v>203</v>
      </c>
      <c r="G410" s="92" t="s">
        <v>204</v>
      </c>
    </row>
    <row r="411" spans="2:8" hidden="1" x14ac:dyDescent="0.25">
      <c r="B411" s="99" t="s">
        <v>331</v>
      </c>
      <c r="C411" s="215" t="s">
        <v>141</v>
      </c>
      <c r="D411" s="216">
        <f>D251</f>
        <v>1</v>
      </c>
      <c r="E411" s="203"/>
      <c r="F411" s="103">
        <f>+E411*D411</f>
        <v>0</v>
      </c>
      <c r="G411" s="213"/>
    </row>
    <row r="412" spans="2:8" hidden="1" x14ac:dyDescent="0.25">
      <c r="B412" s="99" t="s">
        <v>332</v>
      </c>
      <c r="C412" s="215" t="s">
        <v>144</v>
      </c>
      <c r="D412" s="217">
        <v>60</v>
      </c>
      <c r="E412" s="218">
        <f>SUM(F411:F411)</f>
        <v>0</v>
      </c>
      <c r="F412" s="218">
        <f>+E412/D412</f>
        <v>0</v>
      </c>
      <c r="G412" s="213"/>
    </row>
    <row r="413" spans="2:8" x14ac:dyDescent="0.25">
      <c r="B413" s="99" t="s">
        <v>331</v>
      </c>
      <c r="C413" s="215" t="s">
        <v>141</v>
      </c>
      <c r="D413" s="216">
        <f>$F$56</f>
        <v>2</v>
      </c>
      <c r="E413" s="102">
        <v>300</v>
      </c>
      <c r="F413" s="103">
        <f>D413*E413</f>
        <v>600</v>
      </c>
      <c r="G413" s="213"/>
    </row>
    <row r="414" spans="2:8" x14ac:dyDescent="0.25">
      <c r="B414" s="99" t="s">
        <v>333</v>
      </c>
      <c r="C414" s="215" t="s">
        <v>144</v>
      </c>
      <c r="D414" s="217">
        <v>60</v>
      </c>
      <c r="E414" s="102">
        <f>F413/D414</f>
        <v>10</v>
      </c>
      <c r="F414" s="103">
        <f>E414</f>
        <v>10</v>
      </c>
      <c r="G414" s="213"/>
    </row>
    <row r="415" spans="2:8" x14ac:dyDescent="0.25">
      <c r="B415" s="99" t="s">
        <v>334</v>
      </c>
      <c r="C415" s="100" t="s">
        <v>0</v>
      </c>
      <c r="D415" s="216">
        <f>$F$56</f>
        <v>2</v>
      </c>
      <c r="E415" s="102">
        <v>90</v>
      </c>
      <c r="F415" s="103">
        <f>D415*E415</f>
        <v>180</v>
      </c>
      <c r="G415" s="213"/>
    </row>
    <row r="416" spans="2:8" ht="13.5" thickBot="1" x14ac:dyDescent="0.3">
      <c r="B416" s="99" t="s">
        <v>335</v>
      </c>
      <c r="C416" s="215" t="s">
        <v>144</v>
      </c>
      <c r="D416" s="217">
        <v>1</v>
      </c>
      <c r="E416" s="102">
        <f>F414+F415</f>
        <v>190</v>
      </c>
      <c r="F416" s="103">
        <f>+E416/D416</f>
        <v>190</v>
      </c>
      <c r="G416" s="213"/>
    </row>
    <row r="417" spans="2:10" ht="13.5" thickBot="1" x14ac:dyDescent="0.3">
      <c r="B417" s="219"/>
      <c r="C417" s="119"/>
      <c r="D417" s="119"/>
      <c r="E417" s="112" t="s">
        <v>215</v>
      </c>
      <c r="F417" s="113">
        <f>$C$58</f>
        <v>1</v>
      </c>
      <c r="G417" s="220">
        <f>(F416)*F417</f>
        <v>190</v>
      </c>
      <c r="J417" s="147"/>
    </row>
    <row r="418" spans="2:10" s="223" customFormat="1" ht="11.25" customHeight="1" thickBot="1" x14ac:dyDescent="0.3">
      <c r="B418" s="16"/>
      <c r="C418" s="17"/>
      <c r="D418" s="17"/>
      <c r="E418" s="18"/>
      <c r="F418" s="18"/>
      <c r="G418" s="19"/>
      <c r="H418" s="221"/>
      <c r="I418" s="222"/>
    </row>
    <row r="419" spans="2:10" ht="13.5" thickBot="1" x14ac:dyDescent="0.3">
      <c r="B419" s="153" t="s">
        <v>336</v>
      </c>
      <c r="C419" s="154"/>
      <c r="D419" s="154"/>
      <c r="E419" s="62"/>
      <c r="F419" s="155"/>
      <c r="G419" s="168">
        <f>+G417</f>
        <v>190</v>
      </c>
    </row>
    <row r="420" spans="2:10" x14ac:dyDescent="0.25">
      <c r="B420" s="88"/>
      <c r="C420" s="47"/>
      <c r="D420" s="47"/>
      <c r="E420" s="46"/>
      <c r="F420" s="46"/>
      <c r="G420" s="134"/>
    </row>
    <row r="421" spans="2:10" x14ac:dyDescent="0.25">
      <c r="B421" s="88" t="s">
        <v>337</v>
      </c>
      <c r="C421" s="47"/>
      <c r="D421" s="47"/>
      <c r="E421" s="46"/>
      <c r="F421" s="46"/>
      <c r="G421" s="134"/>
    </row>
    <row r="422" spans="2:10" x14ac:dyDescent="0.25">
      <c r="B422" s="88"/>
      <c r="C422" s="47"/>
      <c r="D422" s="47"/>
      <c r="E422" s="46"/>
      <c r="F422" s="46"/>
      <c r="G422" s="134"/>
    </row>
    <row r="423" spans="2:10" ht="11.25" customHeight="1" thickBot="1" x14ac:dyDescent="0.3">
      <c r="B423" s="16" t="s">
        <v>338</v>
      </c>
      <c r="C423" s="17"/>
      <c r="D423" s="17"/>
      <c r="E423" s="18"/>
      <c r="F423" s="18"/>
      <c r="G423" s="19"/>
      <c r="H423" s="17"/>
    </row>
    <row r="424" spans="2:10" s="120" customFormat="1" ht="13.15" customHeight="1" thickBot="1" x14ac:dyDescent="0.3">
      <c r="B424" s="89" t="s">
        <v>200</v>
      </c>
      <c r="C424" s="90" t="s">
        <v>201</v>
      </c>
      <c r="D424" s="90" t="s">
        <v>192</v>
      </c>
      <c r="E424" s="91" t="s">
        <v>202</v>
      </c>
      <c r="F424" s="91" t="s">
        <v>203</v>
      </c>
      <c r="G424" s="92" t="s">
        <v>204</v>
      </c>
      <c r="H424" s="18"/>
      <c r="I424" s="119"/>
    </row>
    <row r="425" spans="2:10" x14ac:dyDescent="0.25">
      <c r="B425" s="93" t="s">
        <v>225</v>
      </c>
      <c r="C425" s="94" t="s">
        <v>144</v>
      </c>
      <c r="D425" s="95">
        <v>1</v>
      </c>
      <c r="E425" s="96">
        <v>1700</v>
      </c>
      <c r="F425" s="97">
        <f>D425*E425</f>
        <v>1700</v>
      </c>
      <c r="G425" s="19"/>
    </row>
    <row r="426" spans="2:10" hidden="1" x14ac:dyDescent="0.25">
      <c r="B426" s="93" t="s">
        <v>226</v>
      </c>
      <c r="C426" s="94" t="s">
        <v>144</v>
      </c>
      <c r="D426" s="95">
        <v>1</v>
      </c>
      <c r="E426" s="96">
        <v>954</v>
      </c>
      <c r="F426" s="97"/>
      <c r="G426" s="19"/>
    </row>
    <row r="427" spans="2:10" hidden="1" x14ac:dyDescent="0.25">
      <c r="B427" s="99" t="s">
        <v>206</v>
      </c>
      <c r="C427" s="100" t="s">
        <v>143</v>
      </c>
      <c r="D427" s="101"/>
      <c r="E427" s="102">
        <f>E425/220*2</f>
        <v>15.454545454545455</v>
      </c>
      <c r="F427" s="103">
        <f>D427*E427</f>
        <v>0</v>
      </c>
      <c r="G427" s="19"/>
    </row>
    <row r="428" spans="2:10" hidden="1" x14ac:dyDescent="0.25">
      <c r="B428" s="99" t="s">
        <v>207</v>
      </c>
      <c r="C428" s="100" t="s">
        <v>143</v>
      </c>
      <c r="D428" s="101"/>
      <c r="E428" s="102">
        <f>E425/220*1.5</f>
        <v>11.590909090909092</v>
      </c>
      <c r="F428" s="103">
        <f>D428*E428</f>
        <v>0</v>
      </c>
      <c r="G428" s="19"/>
    </row>
    <row r="429" spans="2:10" ht="13.15" hidden="1" customHeight="1" x14ac:dyDescent="0.25">
      <c r="B429" s="99" t="s">
        <v>208</v>
      </c>
      <c r="C429" s="100" t="s">
        <v>209</v>
      </c>
      <c r="D429" s="104"/>
      <c r="E429" s="102">
        <f>63/302*(SUM(F427:F428))</f>
        <v>0</v>
      </c>
      <c r="F429" s="103">
        <f>E429</f>
        <v>0</v>
      </c>
      <c r="G429" s="19"/>
    </row>
    <row r="430" spans="2:10" hidden="1" x14ac:dyDescent="0.25">
      <c r="B430" s="99" t="s">
        <v>227</v>
      </c>
      <c r="C430" s="100"/>
      <c r="D430" s="121">
        <v>1</v>
      </c>
      <c r="E430" s="102"/>
      <c r="F430" s="103"/>
      <c r="G430" s="19"/>
    </row>
    <row r="431" spans="2:10" x14ac:dyDescent="0.25">
      <c r="B431" s="99" t="s">
        <v>223</v>
      </c>
      <c r="C431" s="100" t="s">
        <v>154</v>
      </c>
      <c r="D431" s="105">
        <v>0</v>
      </c>
      <c r="E431" s="102">
        <f>IF(D430=2,SUM(F425:F429),IF(D430=1,(SUM(F425:F429))*E426/E425,0))</f>
        <v>954</v>
      </c>
      <c r="F431" s="103">
        <f>D431*E431/100</f>
        <v>0</v>
      </c>
      <c r="G431" s="19"/>
    </row>
    <row r="432" spans="2:10" s="48" customFormat="1" x14ac:dyDescent="0.25">
      <c r="B432" s="122" t="s">
        <v>211</v>
      </c>
      <c r="C432" s="107"/>
      <c r="D432" s="108"/>
      <c r="E432" s="109"/>
      <c r="F432" s="123">
        <f>SUM(F425:F431)</f>
        <v>1700</v>
      </c>
      <c r="G432" s="124"/>
      <c r="H432" s="46"/>
      <c r="I432" s="47"/>
    </row>
    <row r="433" spans="2:9" x14ac:dyDescent="0.25">
      <c r="B433" s="99" t="s">
        <v>175</v>
      </c>
      <c r="C433" s="100" t="s">
        <v>154</v>
      </c>
      <c r="D433" s="102">
        <f>'[1]2.Encargos Sociais'!$D$37*100</f>
        <v>75.87</v>
      </c>
      <c r="E433" s="102">
        <f>F432</f>
        <v>1700</v>
      </c>
      <c r="F433" s="103">
        <f>E433*D433/100</f>
        <v>1289.7900000000002</v>
      </c>
      <c r="G433" s="19"/>
    </row>
    <row r="434" spans="2:9" s="48" customFormat="1" x14ac:dyDescent="0.25">
      <c r="B434" s="122" t="s">
        <v>507</v>
      </c>
      <c r="C434" s="125"/>
      <c r="D434" s="126"/>
      <c r="E434" s="127"/>
      <c r="F434" s="123">
        <f>F432+F433</f>
        <v>2989.79</v>
      </c>
      <c r="G434" s="124"/>
      <c r="H434" s="46"/>
      <c r="I434" s="47"/>
    </row>
    <row r="435" spans="2:9" ht="13.5" thickBot="1" x14ac:dyDescent="0.3">
      <c r="B435" s="99" t="s">
        <v>213</v>
      </c>
      <c r="C435" s="100" t="s">
        <v>214</v>
      </c>
      <c r="D435" s="121">
        <f>$F$47</f>
        <v>1</v>
      </c>
      <c r="E435" s="102">
        <f>F434</f>
        <v>2989.79</v>
      </c>
      <c r="F435" s="103">
        <f>D435*E435</f>
        <v>2989.79</v>
      </c>
      <c r="G435" s="19"/>
    </row>
    <row r="436" spans="2:9" ht="13.5" thickBot="1" x14ac:dyDescent="0.3">
      <c r="B436" s="16"/>
      <c r="C436" s="17"/>
      <c r="D436" s="17"/>
      <c r="E436" s="112" t="s">
        <v>215</v>
      </c>
      <c r="F436" s="113">
        <f>$C$58/44*8</f>
        <v>0.18181818181818182</v>
      </c>
      <c r="G436" s="114">
        <f>F435*F436</f>
        <v>543.59818181818184</v>
      </c>
      <c r="H436" s="18">
        <f>G436*(1+$I$63)</f>
        <v>681.56340036363645</v>
      </c>
    </row>
    <row r="437" spans="2:9" ht="13.5" thickBot="1" x14ac:dyDescent="0.3">
      <c r="B437" s="16" t="s">
        <v>339</v>
      </c>
      <c r="C437" s="17"/>
      <c r="D437" s="17"/>
      <c r="E437" s="112"/>
      <c r="F437" s="128"/>
      <c r="G437" s="129"/>
    </row>
    <row r="438" spans="2:9" ht="13.5" thickBot="1" x14ac:dyDescent="0.3">
      <c r="B438" s="89" t="s">
        <v>200</v>
      </c>
      <c r="C438" s="90" t="s">
        <v>201</v>
      </c>
      <c r="D438" s="90" t="s">
        <v>192</v>
      </c>
      <c r="E438" s="91" t="s">
        <v>202</v>
      </c>
      <c r="F438" s="91" t="s">
        <v>203</v>
      </c>
      <c r="G438" s="92" t="s">
        <v>204</v>
      </c>
      <c r="H438" s="17"/>
    </row>
    <row r="439" spans="2:9" x14ac:dyDescent="0.25">
      <c r="B439" s="99" t="s">
        <v>176</v>
      </c>
      <c r="C439" s="100" t="s">
        <v>209</v>
      </c>
      <c r="D439" s="143">
        <v>1</v>
      </c>
      <c r="E439" s="144">
        <v>3</v>
      </c>
      <c r="F439" s="103"/>
      <c r="G439" s="19"/>
      <c r="H439" s="17"/>
    </row>
    <row r="440" spans="2:9" x14ac:dyDescent="0.25">
      <c r="B440" s="99" t="s">
        <v>237</v>
      </c>
      <c r="C440" s="100" t="s">
        <v>142</v>
      </c>
      <c r="D440" s="104">
        <v>26</v>
      </c>
      <c r="E440" s="102"/>
      <c r="F440" s="103"/>
      <c r="G440" s="19"/>
      <c r="H440" s="17"/>
    </row>
    <row r="441" spans="2:9" hidden="1" x14ac:dyDescent="0.25">
      <c r="B441" s="93" t="s">
        <v>239</v>
      </c>
      <c r="C441" s="94" t="s">
        <v>238</v>
      </c>
      <c r="D441" s="150">
        <f>$D$440*2*(D153)</f>
        <v>0</v>
      </c>
      <c r="E441" s="97">
        <f>IFERROR((($D$440*2*$E$439)-(F143*0.06))/($D$440*2),"-")</f>
        <v>1.0384615384615385</v>
      </c>
      <c r="F441" s="97">
        <f t="shared" ref="F441:F442" si="6">IFERROR(D441*E441,"-")</f>
        <v>0</v>
      </c>
      <c r="G441" s="19"/>
      <c r="H441" s="17"/>
    </row>
    <row r="442" spans="2:9" hidden="1" x14ac:dyDescent="0.25">
      <c r="B442" s="93" t="s">
        <v>240</v>
      </c>
      <c r="C442" s="94" t="s">
        <v>238</v>
      </c>
      <c r="D442" s="150"/>
      <c r="E442" s="97">
        <f>IFERROR((($D$440*2*$E$439)-(F173*0.06))/($D$440*2),"-")</f>
        <v>0.69230769230769229</v>
      </c>
      <c r="F442" s="97">
        <f t="shared" si="6"/>
        <v>0</v>
      </c>
      <c r="G442" s="19"/>
      <c r="H442" s="17"/>
    </row>
    <row r="443" spans="2:9" ht="13.5" thickBot="1" x14ac:dyDescent="0.3">
      <c r="B443" s="93" t="s">
        <v>340</v>
      </c>
      <c r="C443" s="94" t="s">
        <v>238</v>
      </c>
      <c r="D443" s="139">
        <f>$D$440*2*D435/D440*4</f>
        <v>8</v>
      </c>
      <c r="E443" s="96">
        <f>IFERROR((($D$440*2*$E$439)-(F425*0.06))/($D$440*2),"-")</f>
        <v>1.0384615384615385</v>
      </c>
      <c r="F443" s="97">
        <f>IFERROR(D443*E443,"-")</f>
        <v>8.3076923076923084</v>
      </c>
      <c r="G443" s="19"/>
      <c r="H443" s="17"/>
    </row>
    <row r="444" spans="2:9" ht="13.5" thickBot="1" x14ac:dyDescent="0.3">
      <c r="B444" s="16"/>
      <c r="C444" s="17"/>
      <c r="D444" s="17"/>
      <c r="E444" s="18"/>
      <c r="F444" s="18"/>
      <c r="G444" s="141">
        <f>SUM(F441:F443)</f>
        <v>8.3076923076923084</v>
      </c>
      <c r="H444" s="18">
        <f>G444*(1+$I$63)</f>
        <v>10.416184615384616</v>
      </c>
    </row>
    <row r="445" spans="2:9" ht="11.25" customHeight="1" thickBot="1" x14ac:dyDescent="0.3">
      <c r="B445" s="16" t="s">
        <v>341</v>
      </c>
      <c r="C445" s="17"/>
      <c r="D445" s="17"/>
      <c r="E445" s="18"/>
      <c r="F445" s="18"/>
      <c r="G445" s="19"/>
      <c r="H445" s="17"/>
    </row>
    <row r="446" spans="2:9" ht="13.5" thickBot="1" x14ac:dyDescent="0.3">
      <c r="B446" s="89" t="s">
        <v>200</v>
      </c>
      <c r="C446" s="90" t="s">
        <v>201</v>
      </c>
      <c r="D446" s="90" t="s">
        <v>192</v>
      </c>
      <c r="E446" s="91" t="s">
        <v>202</v>
      </c>
      <c r="F446" s="91" t="s">
        <v>203</v>
      </c>
      <c r="G446" s="92" t="s">
        <v>204</v>
      </c>
      <c r="H446" s="17"/>
    </row>
    <row r="447" spans="2:9" hidden="1" x14ac:dyDescent="0.25">
      <c r="B447" s="99" t="str">
        <f>+B441</f>
        <v>Tecnico Administrativo</v>
      </c>
      <c r="C447" s="100" t="s">
        <v>0</v>
      </c>
      <c r="D447" s="139">
        <f>D440*(F48)</f>
        <v>0</v>
      </c>
      <c r="E447" s="140">
        <v>16</v>
      </c>
      <c r="F447" s="133">
        <f t="shared" ref="F447:F448" si="7">D447*E447</f>
        <v>0</v>
      </c>
      <c r="G447" s="138"/>
      <c r="H447" s="17"/>
    </row>
    <row r="448" spans="2:9" hidden="1" x14ac:dyDescent="0.25">
      <c r="B448" s="99" t="str">
        <f>+B442</f>
        <v>Tecnico de Segurança do Trabalho</v>
      </c>
      <c r="C448" s="100" t="s">
        <v>0</v>
      </c>
      <c r="D448" s="139">
        <f>D440*(F50)</f>
        <v>0</v>
      </c>
      <c r="E448" s="140">
        <v>16</v>
      </c>
      <c r="F448" s="133">
        <f t="shared" si="7"/>
        <v>0</v>
      </c>
      <c r="G448" s="138"/>
      <c r="H448" s="17"/>
    </row>
    <row r="449" spans="2:10" ht="13.5" thickBot="1" x14ac:dyDescent="0.3">
      <c r="B449" s="99" t="str">
        <f>+B443</f>
        <v>Encarregado</v>
      </c>
      <c r="C449" s="100" t="s">
        <v>0</v>
      </c>
      <c r="D449" s="139">
        <f>$D$440*F47/D440*4</f>
        <v>4</v>
      </c>
      <c r="E449" s="152">
        <f>15.55*(1-0.175)</f>
        <v>12.828749999999999</v>
      </c>
      <c r="F449" s="133">
        <f>D449*E449</f>
        <v>51.314999999999998</v>
      </c>
      <c r="G449" s="138"/>
      <c r="H449" s="17"/>
    </row>
    <row r="450" spans="2:10" ht="13.5" thickBot="1" x14ac:dyDescent="0.3">
      <c r="B450" s="16"/>
      <c r="C450" s="17"/>
      <c r="D450" s="17"/>
      <c r="E450" s="18"/>
      <c r="F450" s="18"/>
      <c r="G450" s="141">
        <f>SUM(F447:F449)</f>
        <v>51.314999999999998</v>
      </c>
      <c r="H450" s="18">
        <f>G450*(1+$I$63)</f>
        <v>64.338746999999998</v>
      </c>
    </row>
    <row r="451" spans="2:10" ht="13.5" thickBot="1" x14ac:dyDescent="0.3">
      <c r="B451" s="224"/>
      <c r="C451" s="225"/>
      <c r="D451" s="225"/>
      <c r="E451" s="128"/>
      <c r="F451" s="128"/>
      <c r="G451" s="226"/>
      <c r="H451" s="151"/>
    </row>
    <row r="452" spans="2:10" ht="13.5" thickBot="1" x14ac:dyDescent="0.3">
      <c r="B452" s="153" t="s">
        <v>342</v>
      </c>
      <c r="C452" s="154"/>
      <c r="D452" s="154"/>
      <c r="E452" s="62"/>
      <c r="F452" s="155"/>
      <c r="G452" s="141">
        <f>G436+G444+G450</f>
        <v>603.22087412587416</v>
      </c>
      <c r="H452" s="18">
        <f>G452*(1+$I$63)</f>
        <v>756.31833197902108</v>
      </c>
      <c r="I452" s="151"/>
    </row>
    <row r="453" spans="2:10" ht="13.5" thickBot="1" x14ac:dyDescent="0.3">
      <c r="B453" s="153"/>
      <c r="C453" s="154"/>
      <c r="D453" s="154"/>
      <c r="E453" s="62"/>
      <c r="F453" s="62"/>
      <c r="G453" s="226"/>
      <c r="H453" s="146"/>
      <c r="I453" s="151"/>
    </row>
    <row r="454" spans="2:10" ht="13.5" thickBot="1" x14ac:dyDescent="0.3">
      <c r="B454" s="89" t="s">
        <v>200</v>
      </c>
      <c r="C454" s="90" t="s">
        <v>201</v>
      </c>
      <c r="D454" s="90" t="s">
        <v>192</v>
      </c>
      <c r="E454" s="91" t="s">
        <v>202</v>
      </c>
      <c r="F454" s="91" t="s">
        <v>203</v>
      </c>
      <c r="G454" s="92" t="s">
        <v>204</v>
      </c>
    </row>
    <row r="455" spans="2:10" hidden="1" x14ac:dyDescent="0.25">
      <c r="B455" s="99" t="s">
        <v>343</v>
      </c>
      <c r="C455" s="215" t="s">
        <v>144</v>
      </c>
      <c r="D455" s="216">
        <v>1</v>
      </c>
      <c r="E455" s="203"/>
      <c r="F455" s="103">
        <f>+E455*D455</f>
        <v>0</v>
      </c>
      <c r="G455" s="213"/>
    </row>
    <row r="456" spans="2:10" x14ac:dyDescent="0.25">
      <c r="B456" s="99" t="s">
        <v>344</v>
      </c>
      <c r="C456" s="215" t="s">
        <v>144</v>
      </c>
      <c r="D456" s="216">
        <f>$F$56</f>
        <v>2</v>
      </c>
      <c r="E456" s="102">
        <v>75</v>
      </c>
      <c r="F456" s="103">
        <f>+E456*D456</f>
        <v>150</v>
      </c>
      <c r="G456" s="213"/>
      <c r="I456" s="17">
        <f>112/84</f>
        <v>1.3333333333333333</v>
      </c>
      <c r="J456" s="147"/>
    </row>
    <row r="457" spans="2:10" ht="25.5" x14ac:dyDescent="0.25">
      <c r="B457" s="227" t="s">
        <v>345</v>
      </c>
      <c r="C457" s="215" t="s">
        <v>144</v>
      </c>
      <c r="D457" s="217">
        <v>1</v>
      </c>
      <c r="E457" s="102">
        <v>2000</v>
      </c>
      <c r="F457" s="103">
        <f>+E457*D457</f>
        <v>2000</v>
      </c>
      <c r="G457" s="213"/>
    </row>
    <row r="458" spans="2:10" ht="13.5" thickBot="1" x14ac:dyDescent="0.3">
      <c r="B458" s="99" t="s">
        <v>346</v>
      </c>
      <c r="C458" s="215" t="s">
        <v>144</v>
      </c>
      <c r="D458" s="217"/>
      <c r="E458" s="102">
        <f>F456+F457</f>
        <v>2150</v>
      </c>
      <c r="F458" s="218"/>
      <c r="G458" s="213"/>
    </row>
    <row r="459" spans="2:10" ht="13.5" thickBot="1" x14ac:dyDescent="0.3">
      <c r="B459" s="219"/>
      <c r="C459" s="119"/>
      <c r="D459" s="119"/>
      <c r="E459" s="112" t="s">
        <v>215</v>
      </c>
      <c r="F459" s="113">
        <f>$C$58</f>
        <v>1</v>
      </c>
      <c r="G459" s="220">
        <f>E458*F459</f>
        <v>2150</v>
      </c>
    </row>
    <row r="460" spans="2:10" ht="13.5" thickBot="1" x14ac:dyDescent="0.3">
      <c r="B460" s="16"/>
      <c r="C460" s="17"/>
      <c r="D460" s="17"/>
      <c r="E460" s="18"/>
      <c r="F460" s="18"/>
      <c r="G460" s="19"/>
    </row>
    <row r="461" spans="2:10" ht="13.5" thickBot="1" x14ac:dyDescent="0.3">
      <c r="B461" s="153" t="s">
        <v>347</v>
      </c>
      <c r="C461" s="154"/>
      <c r="D461" s="154"/>
      <c r="E461" s="62"/>
      <c r="F461" s="155"/>
      <c r="G461" s="168">
        <f>G459+G452</f>
        <v>2753.2208741258742</v>
      </c>
    </row>
    <row r="462" spans="2:10" ht="17.25" customHeight="1" x14ac:dyDescent="0.25">
      <c r="B462" s="88"/>
      <c r="C462" s="17"/>
      <c r="D462" s="17"/>
      <c r="E462" s="18"/>
      <c r="F462" s="18"/>
      <c r="G462" s="138"/>
    </row>
    <row r="463" spans="2:10" ht="11.25" customHeight="1" thickBot="1" x14ac:dyDescent="0.3">
      <c r="B463" s="16"/>
      <c r="C463" s="17"/>
      <c r="D463" s="17"/>
      <c r="E463" s="18"/>
      <c r="F463" s="18"/>
      <c r="G463" s="19"/>
    </row>
    <row r="464" spans="2:10" ht="17.25" customHeight="1" thickBot="1" x14ac:dyDescent="0.3">
      <c r="B464" s="153" t="s">
        <v>348</v>
      </c>
      <c r="C464" s="165"/>
      <c r="D464" s="165"/>
      <c r="E464" s="166"/>
      <c r="F464" s="167"/>
      <c r="G464" s="141">
        <f>+G211+G243+G393+G406+G419+G461</f>
        <v>50032.252666799206</v>
      </c>
      <c r="H464" s="18">
        <f>G464-G452</f>
        <v>49429.031792673333</v>
      </c>
    </row>
    <row r="465" spans="2:12" ht="17.25" customHeight="1" x14ac:dyDescent="0.25">
      <c r="B465" s="88"/>
      <c r="C465" s="17"/>
      <c r="D465" s="17"/>
      <c r="E465" s="18"/>
      <c r="F465" s="18"/>
      <c r="G465" s="138"/>
    </row>
    <row r="466" spans="2:12" ht="13.5" thickBot="1" x14ac:dyDescent="0.3">
      <c r="B466" s="88" t="s">
        <v>349</v>
      </c>
      <c r="C466" s="17"/>
      <c r="D466" s="17"/>
      <c r="E466" s="18"/>
      <c r="F466" s="18"/>
      <c r="G466" s="19"/>
    </row>
    <row r="467" spans="2:12" ht="13.5" thickBot="1" x14ac:dyDescent="0.3">
      <c r="B467" s="89" t="s">
        <v>200</v>
      </c>
      <c r="C467" s="90" t="s">
        <v>201</v>
      </c>
      <c r="D467" s="90" t="s">
        <v>192</v>
      </c>
      <c r="E467" s="91" t="s">
        <v>202</v>
      </c>
      <c r="F467" s="91" t="s">
        <v>203</v>
      </c>
      <c r="G467" s="92" t="s">
        <v>204</v>
      </c>
      <c r="J467" s="136"/>
    </row>
    <row r="468" spans="2:12" ht="13.5" thickBot="1" x14ac:dyDescent="0.3">
      <c r="B468" s="93" t="s">
        <v>350</v>
      </c>
      <c r="C468" s="94" t="s">
        <v>154</v>
      </c>
      <c r="D468" s="102">
        <f>'[1]4.BDI'!D20*100</f>
        <v>25.380000000000003</v>
      </c>
      <c r="E468" s="97">
        <f>+G464</f>
        <v>50032.252666799206</v>
      </c>
      <c r="F468" s="97">
        <f>D468*E468/100</f>
        <v>12698.185726833639</v>
      </c>
      <c r="G468" s="19"/>
      <c r="J468" s="136"/>
    </row>
    <row r="469" spans="2:12" ht="13.5" thickBot="1" x14ac:dyDescent="0.3">
      <c r="B469" s="228"/>
      <c r="C469" s="17"/>
      <c r="D469" s="17"/>
      <c r="E469" s="18"/>
      <c r="F469" s="18"/>
      <c r="G469" s="168">
        <f>+F468</f>
        <v>12698.185726833639</v>
      </c>
      <c r="I469" s="146"/>
      <c r="J469" s="136"/>
    </row>
    <row r="470" spans="2:12" ht="11.25" customHeight="1" thickBot="1" x14ac:dyDescent="0.3">
      <c r="B470" s="16"/>
      <c r="C470" s="17"/>
      <c r="D470" s="17"/>
      <c r="E470" s="18"/>
      <c r="F470" s="18"/>
      <c r="G470" s="19"/>
      <c r="J470" s="136"/>
    </row>
    <row r="471" spans="2:12" ht="13.5" thickBot="1" x14ac:dyDescent="0.3">
      <c r="B471" s="153" t="s">
        <v>351</v>
      </c>
      <c r="C471" s="165"/>
      <c r="D471" s="165"/>
      <c r="E471" s="166"/>
      <c r="F471" s="167"/>
      <c r="G471" s="141">
        <f>G469</f>
        <v>12698.185726833639</v>
      </c>
      <c r="J471" s="136"/>
    </row>
    <row r="472" spans="2:12" x14ac:dyDescent="0.25">
      <c r="B472" s="88"/>
      <c r="C472" s="47"/>
      <c r="D472" s="47"/>
      <c r="E472" s="46"/>
      <c r="F472" s="46"/>
      <c r="G472" s="134"/>
    </row>
    <row r="473" spans="2:12" ht="11.25" customHeight="1" thickBot="1" x14ac:dyDescent="0.3">
      <c r="B473" s="16"/>
      <c r="C473" s="17"/>
      <c r="D473" s="17"/>
      <c r="E473" s="18"/>
      <c r="F473" s="18"/>
      <c r="G473" s="19"/>
    </row>
    <row r="474" spans="2:12" ht="24.75" customHeight="1" thickBot="1" x14ac:dyDescent="0.3">
      <c r="B474" s="153" t="s">
        <v>352</v>
      </c>
      <c r="C474" s="165"/>
      <c r="D474" s="165"/>
      <c r="E474" s="166"/>
      <c r="F474" s="167"/>
      <c r="G474" s="141">
        <f>G464+G471</f>
        <v>62730.438393632845</v>
      </c>
      <c r="H474" s="18">
        <f>11000*2</f>
        <v>22000</v>
      </c>
      <c r="I474" s="18">
        <f>G303</f>
        <v>8318.1553950733323</v>
      </c>
      <c r="J474" s="147">
        <f>G211</f>
        <v>27067.0450676</v>
      </c>
      <c r="K474" s="147">
        <f>G452+G243</f>
        <v>1129.3858741258741</v>
      </c>
      <c r="L474" s="147">
        <f>G474-H474-I474-J474-K474</f>
        <v>4215.8520568336389</v>
      </c>
    </row>
    <row r="475" spans="2:12" ht="12.6" customHeight="1" x14ac:dyDescent="0.25">
      <c r="B475" s="229"/>
      <c r="C475" s="230"/>
      <c r="D475" s="230"/>
      <c r="E475" s="231"/>
      <c r="F475" s="231"/>
      <c r="G475" s="232"/>
    </row>
    <row r="476" spans="2:12" ht="14.25" x14ac:dyDescent="0.25">
      <c r="B476" s="233"/>
      <c r="C476" s="30"/>
      <c r="D476" s="30"/>
      <c r="E476" s="29"/>
      <c r="F476" s="29"/>
      <c r="G476" s="19"/>
    </row>
    <row r="477" spans="2:12" ht="16.149999999999999" customHeight="1" x14ac:dyDescent="0.25">
      <c r="B477" s="538" t="s">
        <v>353</v>
      </c>
      <c r="C477" s="234"/>
      <c r="D477" s="234"/>
      <c r="E477" s="537">
        <f>'[1]7. Dimensionamento'!D14</f>
        <v>300.15689999999995</v>
      </c>
      <c r="F477" s="235" t="s">
        <v>354</v>
      </c>
      <c r="G477" s="19"/>
    </row>
    <row r="478" spans="2:12" ht="13.5" thickBot="1" x14ac:dyDescent="0.3">
      <c r="B478" s="16"/>
      <c r="C478" s="17"/>
      <c r="D478" s="17"/>
      <c r="E478" s="18"/>
      <c r="F478" s="18"/>
      <c r="G478" s="19"/>
    </row>
    <row r="479" spans="2:12" ht="25.5" customHeight="1" thickBot="1" x14ac:dyDescent="0.3">
      <c r="B479" s="153" t="s">
        <v>355</v>
      </c>
      <c r="C479" s="154"/>
      <c r="D479" s="154"/>
      <c r="E479" s="62"/>
      <c r="F479" s="236" t="s">
        <v>356</v>
      </c>
      <c r="G479" s="237">
        <f>IFERROR(G474/E477,"-")</f>
        <v>208.99215841325938</v>
      </c>
      <c r="H479" s="18">
        <f>$G$479+112</f>
        <v>320.9921584132594</v>
      </c>
      <c r="I479" s="151">
        <f>H479/266.04</f>
        <v>1.206556000651253</v>
      </c>
      <c r="J479" s="18">
        <f>$G$479+95</f>
        <v>303.9921584132594</v>
      </c>
      <c r="K479" s="15" t="e">
        <f>#REF!</f>
        <v>#REF!</v>
      </c>
      <c r="L479" s="15" t="e">
        <f>K479*300</f>
        <v>#REF!</v>
      </c>
    </row>
    <row r="480" spans="2:12" ht="12.6" customHeight="1" x14ac:dyDescent="0.25">
      <c r="B480" s="88"/>
      <c r="C480" s="47"/>
      <c r="D480" s="47"/>
      <c r="E480" s="46"/>
      <c r="F480" s="46"/>
      <c r="G480" s="124"/>
    </row>
    <row r="481" spans="2:9" s="22" customFormat="1" ht="15.75" x14ac:dyDescent="0.25">
      <c r="B481" s="238"/>
      <c r="C481" s="18"/>
      <c r="D481" s="18"/>
      <c r="E481" s="569" t="s">
        <v>529</v>
      </c>
      <c r="F481" s="569"/>
      <c r="G481" s="569"/>
      <c r="H481" s="466">
        <f>G479*E477</f>
        <v>62730.438393632845</v>
      </c>
      <c r="I481" s="24"/>
    </row>
    <row r="482" spans="2:9" s="22" customFormat="1" ht="11.25" customHeight="1" x14ac:dyDescent="0.25">
      <c r="B482" s="239"/>
      <c r="C482" s="24"/>
      <c r="D482" s="24"/>
      <c r="E482" s="24"/>
      <c r="F482" s="24"/>
      <c r="G482" s="240"/>
      <c r="H482" s="25"/>
      <c r="I482" s="24"/>
    </row>
    <row r="483" spans="2:9" s="22" customFormat="1" ht="15" x14ac:dyDescent="0.25">
      <c r="B483" s="16"/>
      <c r="C483" s="17"/>
      <c r="D483" s="17"/>
      <c r="E483" s="17"/>
      <c r="F483" s="17"/>
      <c r="G483" s="80"/>
      <c r="H483" s="25"/>
      <c r="I483" s="24"/>
    </row>
    <row r="484" spans="2:9" x14ac:dyDescent="0.25">
      <c r="B484" s="16"/>
      <c r="C484" s="570"/>
      <c r="D484" s="570"/>
      <c r="E484" s="17"/>
      <c r="F484" s="241"/>
      <c r="G484" s="242"/>
    </row>
    <row r="485" spans="2:9" x14ac:dyDescent="0.25">
      <c r="B485" s="467" t="s">
        <v>357</v>
      </c>
      <c r="C485" s="468"/>
      <c r="D485" s="468"/>
      <c r="E485" s="468"/>
      <c r="F485" s="558" t="s">
        <v>166</v>
      </c>
      <c r="G485" s="559"/>
      <c r="I485" s="151"/>
    </row>
    <row r="486" spans="2:9" x14ac:dyDescent="0.25">
      <c r="B486" s="16"/>
      <c r="C486" s="560" t="s">
        <v>172</v>
      </c>
      <c r="D486" s="560"/>
      <c r="E486" s="17"/>
      <c r="F486" s="560" t="s">
        <v>167</v>
      </c>
      <c r="G486" s="561"/>
    </row>
    <row r="487" spans="2:9" ht="13.5" thickBot="1" x14ac:dyDescent="0.3">
      <c r="B487" s="243"/>
      <c r="C487" s="244"/>
      <c r="D487" s="244"/>
      <c r="E487" s="245"/>
      <c r="F487" s="245"/>
      <c r="G487" s="246"/>
    </row>
    <row r="512" spans="5:8" ht="9" customHeight="1" x14ac:dyDescent="0.25">
      <c r="E512" s="15"/>
      <c r="F512" s="15"/>
      <c r="G512" s="15"/>
      <c r="H512" s="17"/>
    </row>
  </sheetData>
  <mergeCells count="15">
    <mergeCell ref="F485:G485"/>
    <mergeCell ref="C486:D486"/>
    <mergeCell ref="F486:G486"/>
    <mergeCell ref="B25:D25"/>
    <mergeCell ref="B41:F41"/>
    <mergeCell ref="B42:E42"/>
    <mergeCell ref="B53:E53"/>
    <mergeCell ref="E481:G481"/>
    <mergeCell ref="C484:D484"/>
    <mergeCell ref="B11:G11"/>
    <mergeCell ref="B1:G1"/>
    <mergeCell ref="B3:G3"/>
    <mergeCell ref="B5:G5"/>
    <mergeCell ref="B8:G8"/>
    <mergeCell ref="B9:G9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F481">
      <formula1>INDIRECT(CONCATENATE("F_",D489))</formula1>
    </dataValidation>
  </dataValidations>
  <hyperlinks>
    <hyperlink ref="B265" location="AbaRemun" display="3.1.2. Remuneração do Capital"/>
    <hyperlink ref="B249" location="AbaDeprec" display="3.1.1. Depreciação"/>
    <hyperlink ref="B336" location="AbaRemun" display="3.1.2. Remuneração do Capital"/>
    <hyperlink ref="B320" location="AbaDeprec" display="3.1.1. Depreciação"/>
  </hyperlinks>
  <pageMargins left="0.511811024" right="0.511811024" top="0.78740157499999996" bottom="0.78740157499999996" header="0.31496062000000002" footer="0.31496062000000002"/>
  <pageSetup paperSize="9" scale="65" orientation="portrait" r:id="rId1"/>
  <rowBreaks count="3" manualBreakCount="3">
    <brk id="103" min="1" max="6" man="1"/>
    <brk id="281" min="1" max="6" man="1"/>
    <brk id="452" min="1" max="6" man="1"/>
  </rowBreaks>
  <colBreaks count="1" manualBreakCount="1">
    <brk id="7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view="pageBreakPreview" topLeftCell="C28" zoomScaleNormal="100" zoomScaleSheetLayoutView="100" workbookViewId="0">
      <selection activeCell="B31" sqref="B31"/>
    </sheetView>
  </sheetViews>
  <sheetFormatPr defaultRowHeight="15" x14ac:dyDescent="0.25"/>
  <cols>
    <col min="1" max="1" width="8.7109375" customWidth="1"/>
    <col min="2" max="2" width="32.5703125" customWidth="1"/>
    <col min="3" max="3" width="13" style="8" customWidth="1"/>
    <col min="4" max="4" width="13.7109375" customWidth="1"/>
    <col min="5" max="5" width="14" style="8" customWidth="1"/>
    <col min="6" max="6" width="14.42578125" style="8" customWidth="1"/>
    <col min="7" max="8" width="13.42578125" style="8" customWidth="1"/>
    <col min="9" max="9" width="14.28515625" style="8" customWidth="1"/>
    <col min="10" max="10" width="14.85546875" style="8" customWidth="1"/>
    <col min="11" max="11" width="14.140625" style="8" customWidth="1"/>
    <col min="12" max="14" width="13.42578125" style="8" customWidth="1"/>
    <col min="15" max="15" width="17" style="8" customWidth="1"/>
    <col min="16" max="16" width="16.28515625" customWidth="1"/>
  </cols>
  <sheetData>
    <row r="1" spans="1:18" x14ac:dyDescent="0.25">
      <c r="A1" s="367"/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</row>
    <row r="2" spans="1:18" ht="18" x14ac:dyDescent="0.25">
      <c r="A2" s="577" t="s">
        <v>156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</row>
    <row r="3" spans="1:18" s="8" customFormat="1" ht="18" x14ac:dyDescent="0.25">
      <c r="A3" s="456"/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535"/>
    </row>
    <row r="4" spans="1:18" ht="18" x14ac:dyDescent="0.25">
      <c r="A4" s="577" t="s">
        <v>155</v>
      </c>
      <c r="B4" s="577"/>
      <c r="C4" s="577"/>
      <c r="D4" s="577"/>
      <c r="E4" s="577"/>
      <c r="F4" s="577"/>
      <c r="G4" s="577"/>
      <c r="H4" s="577"/>
      <c r="I4" s="577"/>
      <c r="J4" s="577"/>
      <c r="K4" s="577"/>
      <c r="L4" s="577"/>
      <c r="M4" s="577"/>
      <c r="N4" s="577"/>
      <c r="O4" s="577"/>
      <c r="P4" s="577"/>
      <c r="Q4" s="577"/>
    </row>
    <row r="5" spans="1:18" x14ac:dyDescent="0.25">
      <c r="A5" s="535"/>
      <c r="B5" s="535"/>
      <c r="C5" s="535"/>
      <c r="D5" s="535"/>
      <c r="E5" s="535"/>
      <c r="F5" s="535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5"/>
    </row>
    <row r="6" spans="1:18" ht="18" x14ac:dyDescent="0.25">
      <c r="A6" s="550" t="s">
        <v>533</v>
      </c>
      <c r="B6" s="550"/>
      <c r="C6" s="550"/>
      <c r="D6" s="550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50"/>
      <c r="Q6" s="550"/>
      <c r="R6" s="12"/>
    </row>
    <row r="7" spans="1:18" x14ac:dyDescent="0.25">
      <c r="A7" s="367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</row>
    <row r="8" spans="1:18" s="8" customFormat="1" ht="15.75" thickBot="1" x14ac:dyDescent="0.3">
      <c r="A8" s="367"/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</row>
    <row r="9" spans="1:18" ht="18.75" customHeight="1" x14ac:dyDescent="0.25">
      <c r="A9" s="571" t="s">
        <v>157</v>
      </c>
      <c r="B9" s="572"/>
      <c r="C9" s="572"/>
      <c r="D9" s="572"/>
      <c r="E9" s="572"/>
      <c r="F9" s="572"/>
      <c r="G9" s="572"/>
      <c r="H9" s="572"/>
      <c r="I9" s="572"/>
      <c r="J9" s="572"/>
      <c r="K9" s="572"/>
      <c r="L9" s="572"/>
      <c r="M9" s="572"/>
      <c r="N9" s="572"/>
      <c r="O9" s="572"/>
      <c r="P9" s="573"/>
      <c r="Q9" s="367"/>
    </row>
    <row r="10" spans="1:18" ht="15.75" customHeight="1" thickBot="1" x14ac:dyDescent="0.3">
      <c r="A10" s="574"/>
      <c r="B10" s="575"/>
      <c r="C10" s="575"/>
      <c r="D10" s="575"/>
      <c r="E10" s="575"/>
      <c r="F10" s="575"/>
      <c r="G10" s="575"/>
      <c r="H10" s="575"/>
      <c r="I10" s="575"/>
      <c r="J10" s="575"/>
      <c r="K10" s="575"/>
      <c r="L10" s="575"/>
      <c r="M10" s="575"/>
      <c r="N10" s="575"/>
      <c r="O10" s="575"/>
      <c r="P10" s="576"/>
      <c r="Q10" s="367"/>
    </row>
    <row r="11" spans="1:18" ht="27" customHeight="1" x14ac:dyDescent="0.25">
      <c r="A11" s="368" t="s">
        <v>158</v>
      </c>
      <c r="B11" s="586" t="s">
        <v>534</v>
      </c>
      <c r="C11" s="587"/>
      <c r="D11" s="587"/>
      <c r="E11" s="587"/>
      <c r="F11" s="587"/>
      <c r="G11" s="587"/>
      <c r="H11" s="587"/>
      <c r="I11" s="587"/>
      <c r="J11" s="587"/>
      <c r="K11" s="587"/>
      <c r="L11" s="587"/>
      <c r="M11" s="587"/>
      <c r="N11" s="587"/>
      <c r="O11" s="587"/>
      <c r="P11" s="588"/>
      <c r="Q11" s="367"/>
    </row>
    <row r="12" spans="1:18" ht="24.75" customHeight="1" thickBot="1" x14ac:dyDescent="0.3">
      <c r="A12" s="475" t="s">
        <v>159</v>
      </c>
      <c r="B12" s="578" t="s">
        <v>177</v>
      </c>
      <c r="C12" s="579"/>
      <c r="D12" s="579"/>
      <c r="E12" s="579"/>
      <c r="F12" s="579"/>
      <c r="G12" s="579"/>
      <c r="H12" s="579"/>
      <c r="I12" s="579"/>
      <c r="J12" s="579"/>
      <c r="K12" s="579"/>
      <c r="L12" s="579"/>
      <c r="M12" s="579"/>
      <c r="N12" s="579"/>
      <c r="O12" s="579"/>
      <c r="P12" s="580"/>
      <c r="Q12" s="367"/>
    </row>
    <row r="13" spans="1:18" ht="24.75" customHeight="1" thickBot="1" x14ac:dyDescent="0.3">
      <c r="A13" s="470" t="s">
        <v>160</v>
      </c>
      <c r="B13" s="471" t="s">
        <v>161</v>
      </c>
      <c r="C13" s="472" t="s">
        <v>173</v>
      </c>
      <c r="D13" s="473" t="s">
        <v>162</v>
      </c>
      <c r="E13" s="473" t="s">
        <v>494</v>
      </c>
      <c r="F13" s="473" t="s">
        <v>495</v>
      </c>
      <c r="G13" s="473" t="s">
        <v>496</v>
      </c>
      <c r="H13" s="473" t="s">
        <v>497</v>
      </c>
      <c r="I13" s="473" t="s">
        <v>498</v>
      </c>
      <c r="J13" s="473" t="s">
        <v>499</v>
      </c>
      <c r="K13" s="473" t="s">
        <v>500</v>
      </c>
      <c r="L13" s="473" t="s">
        <v>501</v>
      </c>
      <c r="M13" s="473" t="s">
        <v>502</v>
      </c>
      <c r="N13" s="473" t="s">
        <v>503</v>
      </c>
      <c r="O13" s="474" t="s">
        <v>504</v>
      </c>
      <c r="P13" s="471" t="s">
        <v>163</v>
      </c>
      <c r="Q13" s="367"/>
    </row>
    <row r="14" spans="1:18" x14ac:dyDescent="0.25">
      <c r="A14" s="412" t="s">
        <v>152</v>
      </c>
      <c r="B14" s="423" t="s">
        <v>174</v>
      </c>
      <c r="C14" s="427">
        <v>33533.93</v>
      </c>
      <c r="D14" s="417">
        <f>$C$14</f>
        <v>33533.93</v>
      </c>
      <c r="E14" s="417">
        <f t="shared" ref="E14:O14" si="0">$C$14</f>
        <v>33533.93</v>
      </c>
      <c r="F14" s="417">
        <f t="shared" si="0"/>
        <v>33533.93</v>
      </c>
      <c r="G14" s="417">
        <f t="shared" si="0"/>
        <v>33533.93</v>
      </c>
      <c r="H14" s="417">
        <f t="shared" si="0"/>
        <v>33533.93</v>
      </c>
      <c r="I14" s="417">
        <f t="shared" si="0"/>
        <v>33533.93</v>
      </c>
      <c r="J14" s="417">
        <f t="shared" si="0"/>
        <v>33533.93</v>
      </c>
      <c r="K14" s="417">
        <f t="shared" si="0"/>
        <v>33533.93</v>
      </c>
      <c r="L14" s="417">
        <f t="shared" si="0"/>
        <v>33533.93</v>
      </c>
      <c r="M14" s="417">
        <f t="shared" si="0"/>
        <v>33533.93</v>
      </c>
      <c r="N14" s="417">
        <f t="shared" si="0"/>
        <v>33533.93</v>
      </c>
      <c r="O14" s="434">
        <f t="shared" si="0"/>
        <v>33533.93</v>
      </c>
      <c r="P14" s="439">
        <f>SUM(D14:O14)</f>
        <v>402407.16</v>
      </c>
      <c r="Q14" s="367"/>
    </row>
    <row r="15" spans="1:18" ht="52.5" customHeight="1" x14ac:dyDescent="0.25">
      <c r="A15" s="413" t="s">
        <v>153</v>
      </c>
      <c r="B15" s="424" t="s">
        <v>178</v>
      </c>
      <c r="C15" s="428">
        <v>709.24</v>
      </c>
      <c r="D15" s="415">
        <f>$C$15</f>
        <v>709.24</v>
      </c>
      <c r="E15" s="415">
        <f t="shared" ref="E15:O15" si="1">$C$15</f>
        <v>709.24</v>
      </c>
      <c r="F15" s="415">
        <f t="shared" si="1"/>
        <v>709.24</v>
      </c>
      <c r="G15" s="415">
        <f t="shared" si="1"/>
        <v>709.24</v>
      </c>
      <c r="H15" s="415">
        <f t="shared" si="1"/>
        <v>709.24</v>
      </c>
      <c r="I15" s="415">
        <f t="shared" si="1"/>
        <v>709.24</v>
      </c>
      <c r="J15" s="415">
        <f t="shared" si="1"/>
        <v>709.24</v>
      </c>
      <c r="K15" s="415">
        <f t="shared" si="1"/>
        <v>709.24</v>
      </c>
      <c r="L15" s="415">
        <f t="shared" si="1"/>
        <v>709.24</v>
      </c>
      <c r="M15" s="415">
        <f t="shared" si="1"/>
        <v>709.24</v>
      </c>
      <c r="N15" s="415">
        <f t="shared" si="1"/>
        <v>709.24</v>
      </c>
      <c r="O15" s="435">
        <f t="shared" si="1"/>
        <v>709.24</v>
      </c>
      <c r="P15" s="440">
        <f t="shared" ref="P15:P19" si="2">SUM(D15:O15)</f>
        <v>8510.8799999999992</v>
      </c>
      <c r="Q15" s="367"/>
    </row>
    <row r="16" spans="1:18" x14ac:dyDescent="0.25">
      <c r="A16" s="413" t="s">
        <v>181</v>
      </c>
      <c r="B16" s="425" t="s">
        <v>179</v>
      </c>
      <c r="C16" s="428">
        <v>24220.03</v>
      </c>
      <c r="D16" s="415">
        <f>$C$16</f>
        <v>24220.03</v>
      </c>
      <c r="E16" s="415">
        <f t="shared" ref="E16:O16" si="3">$C$16</f>
        <v>24220.03</v>
      </c>
      <c r="F16" s="415">
        <f t="shared" si="3"/>
        <v>24220.03</v>
      </c>
      <c r="G16" s="415">
        <f t="shared" si="3"/>
        <v>24220.03</v>
      </c>
      <c r="H16" s="415">
        <f t="shared" si="3"/>
        <v>24220.03</v>
      </c>
      <c r="I16" s="415">
        <f t="shared" si="3"/>
        <v>24220.03</v>
      </c>
      <c r="J16" s="415">
        <f t="shared" si="3"/>
        <v>24220.03</v>
      </c>
      <c r="K16" s="415">
        <f t="shared" si="3"/>
        <v>24220.03</v>
      </c>
      <c r="L16" s="415">
        <f t="shared" si="3"/>
        <v>24220.03</v>
      </c>
      <c r="M16" s="415">
        <f t="shared" si="3"/>
        <v>24220.03</v>
      </c>
      <c r="N16" s="415">
        <f t="shared" si="3"/>
        <v>24220.03</v>
      </c>
      <c r="O16" s="435">
        <f t="shared" si="3"/>
        <v>24220.03</v>
      </c>
      <c r="P16" s="440">
        <f t="shared" si="2"/>
        <v>290640.36</v>
      </c>
      <c r="Q16" s="367"/>
    </row>
    <row r="17" spans="1:17" x14ac:dyDescent="0.25">
      <c r="A17" s="413" t="s">
        <v>509</v>
      </c>
      <c r="B17" s="425" t="s">
        <v>508</v>
      </c>
      <c r="C17" s="428">
        <v>238.22</v>
      </c>
      <c r="D17" s="415">
        <f>$C$17</f>
        <v>238.22</v>
      </c>
      <c r="E17" s="415">
        <f t="shared" ref="E17:O17" si="4">$C$17</f>
        <v>238.22</v>
      </c>
      <c r="F17" s="415">
        <f t="shared" si="4"/>
        <v>238.22</v>
      </c>
      <c r="G17" s="415">
        <f t="shared" si="4"/>
        <v>238.22</v>
      </c>
      <c r="H17" s="415">
        <f t="shared" si="4"/>
        <v>238.22</v>
      </c>
      <c r="I17" s="415">
        <f t="shared" si="4"/>
        <v>238.22</v>
      </c>
      <c r="J17" s="415">
        <f t="shared" si="4"/>
        <v>238.22</v>
      </c>
      <c r="K17" s="415">
        <f t="shared" si="4"/>
        <v>238.22</v>
      </c>
      <c r="L17" s="415">
        <f t="shared" si="4"/>
        <v>238.22</v>
      </c>
      <c r="M17" s="415">
        <f t="shared" si="4"/>
        <v>238.22</v>
      </c>
      <c r="N17" s="415">
        <f t="shared" si="4"/>
        <v>238.22</v>
      </c>
      <c r="O17" s="435">
        <f t="shared" si="4"/>
        <v>238.22</v>
      </c>
      <c r="P17" s="440">
        <f t="shared" si="2"/>
        <v>2858.6399999999994</v>
      </c>
      <c r="Q17" s="367"/>
    </row>
    <row r="18" spans="1:17" s="8" customFormat="1" ht="28.5" x14ac:dyDescent="0.25">
      <c r="A18" s="413" t="s">
        <v>510</v>
      </c>
      <c r="B18" s="426" t="s">
        <v>512</v>
      </c>
      <c r="C18" s="428">
        <v>110.11</v>
      </c>
      <c r="D18" s="415">
        <f>$C$18</f>
        <v>110.11</v>
      </c>
      <c r="E18" s="415">
        <f t="shared" ref="E18:O18" si="5">$C$18</f>
        <v>110.11</v>
      </c>
      <c r="F18" s="415">
        <f t="shared" si="5"/>
        <v>110.11</v>
      </c>
      <c r="G18" s="415">
        <f t="shared" si="5"/>
        <v>110.11</v>
      </c>
      <c r="H18" s="415">
        <f t="shared" si="5"/>
        <v>110.11</v>
      </c>
      <c r="I18" s="415">
        <f t="shared" si="5"/>
        <v>110.11</v>
      </c>
      <c r="J18" s="415">
        <f t="shared" si="5"/>
        <v>110.11</v>
      </c>
      <c r="K18" s="415">
        <f t="shared" si="5"/>
        <v>110.11</v>
      </c>
      <c r="L18" s="415">
        <f t="shared" si="5"/>
        <v>110.11</v>
      </c>
      <c r="M18" s="415">
        <f t="shared" si="5"/>
        <v>110.11</v>
      </c>
      <c r="N18" s="415">
        <f t="shared" si="5"/>
        <v>110.11</v>
      </c>
      <c r="O18" s="435">
        <f t="shared" si="5"/>
        <v>110.11</v>
      </c>
      <c r="P18" s="440">
        <f t="shared" si="2"/>
        <v>1321.3199999999997</v>
      </c>
      <c r="Q18" s="367"/>
    </row>
    <row r="19" spans="1:17" s="8" customFormat="1" x14ac:dyDescent="0.25">
      <c r="A19" s="413" t="s">
        <v>511</v>
      </c>
      <c r="B19" s="425" t="s">
        <v>506</v>
      </c>
      <c r="C19" s="428">
        <v>3452.6</v>
      </c>
      <c r="D19" s="415">
        <f>$C$19</f>
        <v>3452.6</v>
      </c>
      <c r="E19" s="415">
        <f t="shared" ref="E19:O19" si="6">$C$19</f>
        <v>3452.6</v>
      </c>
      <c r="F19" s="415">
        <f t="shared" si="6"/>
        <v>3452.6</v>
      </c>
      <c r="G19" s="415">
        <f t="shared" si="6"/>
        <v>3452.6</v>
      </c>
      <c r="H19" s="415">
        <f t="shared" si="6"/>
        <v>3452.6</v>
      </c>
      <c r="I19" s="415">
        <f t="shared" si="6"/>
        <v>3452.6</v>
      </c>
      <c r="J19" s="415">
        <f t="shared" si="6"/>
        <v>3452.6</v>
      </c>
      <c r="K19" s="415">
        <f t="shared" si="6"/>
        <v>3452.6</v>
      </c>
      <c r="L19" s="415">
        <f t="shared" si="6"/>
        <v>3452.6</v>
      </c>
      <c r="M19" s="415">
        <f t="shared" si="6"/>
        <v>3452.6</v>
      </c>
      <c r="N19" s="415">
        <f t="shared" si="6"/>
        <v>3452.6</v>
      </c>
      <c r="O19" s="435">
        <f t="shared" si="6"/>
        <v>3452.6</v>
      </c>
      <c r="P19" s="440">
        <f t="shared" si="2"/>
        <v>41431.19999999999</v>
      </c>
      <c r="Q19" s="367"/>
    </row>
    <row r="20" spans="1:17" s="8" customFormat="1" x14ac:dyDescent="0.25">
      <c r="A20" s="413"/>
      <c r="B20" s="425"/>
      <c r="C20" s="429"/>
      <c r="D20" s="415"/>
      <c r="E20" s="415"/>
      <c r="F20" s="415"/>
      <c r="G20" s="415"/>
      <c r="H20" s="415"/>
      <c r="I20" s="415"/>
      <c r="J20" s="415"/>
      <c r="K20" s="415"/>
      <c r="L20" s="415"/>
      <c r="M20" s="415"/>
      <c r="N20" s="415"/>
      <c r="O20" s="435"/>
      <c r="P20" s="440"/>
      <c r="Q20" s="367"/>
    </row>
    <row r="21" spans="1:17" s="8" customFormat="1" x14ac:dyDescent="0.25">
      <c r="A21" s="413"/>
      <c r="B21" s="425"/>
      <c r="C21" s="429"/>
      <c r="D21" s="415"/>
      <c r="E21" s="415"/>
      <c r="F21" s="415"/>
      <c r="G21" s="415"/>
      <c r="H21" s="415"/>
      <c r="I21" s="415"/>
      <c r="J21" s="415"/>
      <c r="K21" s="415"/>
      <c r="L21" s="415"/>
      <c r="M21" s="415"/>
      <c r="N21" s="415"/>
      <c r="O21" s="435"/>
      <c r="P21" s="440"/>
      <c r="Q21" s="367"/>
    </row>
    <row r="22" spans="1:17" s="8" customFormat="1" x14ac:dyDescent="0.25">
      <c r="A22" s="413"/>
      <c r="B22" s="425"/>
      <c r="C22" s="429"/>
      <c r="D22" s="415"/>
      <c r="E22" s="415"/>
      <c r="F22" s="415"/>
      <c r="G22" s="415"/>
      <c r="H22" s="415"/>
      <c r="I22" s="415"/>
      <c r="J22" s="415"/>
      <c r="K22" s="415"/>
      <c r="L22" s="415"/>
      <c r="M22" s="415"/>
      <c r="N22" s="415"/>
      <c r="O22" s="435"/>
      <c r="P22" s="440"/>
      <c r="Q22" s="367"/>
    </row>
    <row r="23" spans="1:17" s="8" customFormat="1" x14ac:dyDescent="0.25">
      <c r="A23" s="413"/>
      <c r="B23" s="425"/>
      <c r="C23" s="429"/>
      <c r="D23" s="415"/>
      <c r="E23" s="415"/>
      <c r="F23" s="415"/>
      <c r="G23" s="415"/>
      <c r="H23" s="415"/>
      <c r="I23" s="415"/>
      <c r="J23" s="415"/>
      <c r="K23" s="415"/>
      <c r="L23" s="415"/>
      <c r="M23" s="415"/>
      <c r="N23" s="415"/>
      <c r="O23" s="435"/>
      <c r="P23" s="440"/>
      <c r="Q23" s="367"/>
    </row>
    <row r="24" spans="1:17" s="8" customFormat="1" x14ac:dyDescent="0.25">
      <c r="A24" s="413"/>
      <c r="B24" s="425"/>
      <c r="C24" s="429"/>
      <c r="D24" s="415"/>
      <c r="E24" s="415"/>
      <c r="F24" s="415"/>
      <c r="G24" s="415"/>
      <c r="H24" s="415"/>
      <c r="I24" s="415"/>
      <c r="J24" s="415"/>
      <c r="K24" s="415"/>
      <c r="L24" s="415"/>
      <c r="M24" s="415"/>
      <c r="N24" s="415"/>
      <c r="O24" s="435"/>
      <c r="P24" s="440"/>
      <c r="Q24" s="367"/>
    </row>
    <row r="25" spans="1:17" x14ac:dyDescent="0.25">
      <c r="A25" s="413"/>
      <c r="B25" s="425"/>
      <c r="C25" s="430"/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436"/>
      <c r="P25" s="441"/>
      <c r="Q25" s="367"/>
    </row>
    <row r="26" spans="1:17" x14ac:dyDescent="0.25">
      <c r="A26" s="413"/>
      <c r="B26" s="425"/>
      <c r="C26" s="430"/>
      <c r="D26" s="415"/>
      <c r="E26" s="415"/>
      <c r="F26" s="415"/>
      <c r="G26" s="415"/>
      <c r="H26" s="415"/>
      <c r="I26" s="415"/>
      <c r="J26" s="415"/>
      <c r="K26" s="415"/>
      <c r="L26" s="415"/>
      <c r="M26" s="415"/>
      <c r="N26" s="415"/>
      <c r="O26" s="435"/>
      <c r="P26" s="441"/>
      <c r="Q26" s="367"/>
    </row>
    <row r="27" spans="1:17" ht="15.75" thickBot="1" x14ac:dyDescent="0.3">
      <c r="A27" s="419"/>
      <c r="B27" s="414"/>
      <c r="C27" s="431"/>
      <c r="D27" s="421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37"/>
      <c r="P27" s="442"/>
      <c r="Q27" s="367"/>
    </row>
    <row r="28" spans="1:17" x14ac:dyDescent="0.25">
      <c r="A28" s="589" t="s">
        <v>164</v>
      </c>
      <c r="B28" s="590"/>
      <c r="C28" s="432">
        <f t="shared" ref="C28:P28" si="7">SUM(C14:C27)</f>
        <v>62264.13</v>
      </c>
      <c r="D28" s="420">
        <f t="shared" si="7"/>
        <v>62264.13</v>
      </c>
      <c r="E28" s="420">
        <f t="shared" si="7"/>
        <v>62264.13</v>
      </c>
      <c r="F28" s="420">
        <f t="shared" si="7"/>
        <v>62264.13</v>
      </c>
      <c r="G28" s="420">
        <f t="shared" si="7"/>
        <v>62264.13</v>
      </c>
      <c r="H28" s="420">
        <f t="shared" si="7"/>
        <v>62264.13</v>
      </c>
      <c r="I28" s="420">
        <f t="shared" si="7"/>
        <v>62264.13</v>
      </c>
      <c r="J28" s="420">
        <f t="shared" si="7"/>
        <v>62264.13</v>
      </c>
      <c r="K28" s="420">
        <f t="shared" si="7"/>
        <v>62264.13</v>
      </c>
      <c r="L28" s="420">
        <f t="shared" si="7"/>
        <v>62264.13</v>
      </c>
      <c r="M28" s="420">
        <f t="shared" si="7"/>
        <v>62264.13</v>
      </c>
      <c r="N28" s="420">
        <f t="shared" si="7"/>
        <v>62264.13</v>
      </c>
      <c r="O28" s="438">
        <f t="shared" si="7"/>
        <v>62264.13</v>
      </c>
      <c r="P28" s="443">
        <f t="shared" si="7"/>
        <v>747169.55999999982</v>
      </c>
      <c r="Q28" s="367"/>
    </row>
    <row r="29" spans="1:17" s="8" customFormat="1" x14ac:dyDescent="0.25">
      <c r="A29" s="591" t="s">
        <v>535</v>
      </c>
      <c r="B29" s="592"/>
      <c r="C29" s="469">
        <v>1</v>
      </c>
      <c r="D29" s="446">
        <f>D28*$C$29</f>
        <v>62264.13</v>
      </c>
      <c r="E29" s="446">
        <f t="shared" ref="E29:O29" si="8">E28*$C$29</f>
        <v>62264.13</v>
      </c>
      <c r="F29" s="446">
        <f t="shared" si="8"/>
        <v>62264.13</v>
      </c>
      <c r="G29" s="446">
        <f t="shared" si="8"/>
        <v>62264.13</v>
      </c>
      <c r="H29" s="446">
        <f t="shared" si="8"/>
        <v>62264.13</v>
      </c>
      <c r="I29" s="446">
        <f t="shared" si="8"/>
        <v>62264.13</v>
      </c>
      <c r="J29" s="446">
        <f t="shared" si="8"/>
        <v>62264.13</v>
      </c>
      <c r="K29" s="446">
        <f t="shared" si="8"/>
        <v>62264.13</v>
      </c>
      <c r="L29" s="446">
        <f t="shared" si="8"/>
        <v>62264.13</v>
      </c>
      <c r="M29" s="446">
        <f t="shared" si="8"/>
        <v>62264.13</v>
      </c>
      <c r="N29" s="446">
        <f t="shared" si="8"/>
        <v>62264.13</v>
      </c>
      <c r="O29" s="446">
        <f t="shared" si="8"/>
        <v>62264.13</v>
      </c>
      <c r="P29" s="445">
        <f>P28*C29</f>
        <v>747169.55999999982</v>
      </c>
      <c r="Q29" s="367"/>
    </row>
    <row r="30" spans="1:17" ht="15.75" thickBot="1" x14ac:dyDescent="0.3">
      <c r="A30" s="584" t="s">
        <v>165</v>
      </c>
      <c r="B30" s="585"/>
      <c r="C30" s="433"/>
      <c r="D30" s="418">
        <f>D29</f>
        <v>62264.13</v>
      </c>
      <c r="E30" s="418">
        <f>D30+E29</f>
        <v>124528.26</v>
      </c>
      <c r="F30" s="418">
        <f t="shared" ref="F30:O30" si="9">E30+F29</f>
        <v>186792.38999999998</v>
      </c>
      <c r="G30" s="418">
        <f t="shared" si="9"/>
        <v>249056.52</v>
      </c>
      <c r="H30" s="418">
        <f t="shared" si="9"/>
        <v>311320.64999999997</v>
      </c>
      <c r="I30" s="418">
        <f t="shared" si="9"/>
        <v>373584.77999999997</v>
      </c>
      <c r="J30" s="418">
        <f t="shared" si="9"/>
        <v>435848.91</v>
      </c>
      <c r="K30" s="418">
        <f t="shared" si="9"/>
        <v>498113.04</v>
      </c>
      <c r="L30" s="418">
        <f t="shared" si="9"/>
        <v>560377.16999999993</v>
      </c>
      <c r="M30" s="418">
        <f t="shared" si="9"/>
        <v>622641.29999999993</v>
      </c>
      <c r="N30" s="418">
        <f t="shared" si="9"/>
        <v>684905.42999999993</v>
      </c>
      <c r="O30" s="447">
        <f t="shared" si="9"/>
        <v>747169.55999999994</v>
      </c>
      <c r="P30" s="444"/>
      <c r="Q30" s="367"/>
    </row>
    <row r="31" spans="1:17" x14ac:dyDescent="0.25">
      <c r="A31" s="367"/>
      <c r="B31" s="367"/>
      <c r="C31" s="367"/>
      <c r="D31" s="367"/>
      <c r="E31" s="367"/>
      <c r="F31" s="367"/>
      <c r="G31" s="367"/>
      <c r="H31" s="367"/>
      <c r="I31" s="367"/>
      <c r="J31" s="367"/>
      <c r="K31" s="367"/>
      <c r="L31" s="367"/>
      <c r="M31" s="367"/>
      <c r="N31" s="367"/>
      <c r="O31" s="367"/>
      <c r="P31" s="367"/>
      <c r="Q31" s="367"/>
    </row>
    <row r="32" spans="1:17" ht="15.75" x14ac:dyDescent="0.25">
      <c r="A32" s="369"/>
      <c r="B32" s="369"/>
      <c r="C32" s="369"/>
      <c r="D32" s="369"/>
      <c r="E32" s="369"/>
      <c r="F32" s="369"/>
      <c r="G32" s="369"/>
      <c r="H32" s="369"/>
      <c r="I32" s="369"/>
      <c r="J32" s="369"/>
      <c r="K32" s="369"/>
      <c r="L32" s="369"/>
      <c r="M32" s="369"/>
      <c r="O32" s="369"/>
      <c r="P32" s="369"/>
      <c r="Q32" s="367"/>
    </row>
    <row r="33" spans="1:17" ht="15.75" x14ac:dyDescent="0.25">
      <c r="A33" s="369"/>
      <c r="B33" s="369"/>
      <c r="C33" s="369"/>
      <c r="D33" s="369"/>
      <c r="E33" s="369"/>
      <c r="F33" s="369"/>
      <c r="G33" s="369"/>
      <c r="H33" s="369"/>
      <c r="I33" s="369"/>
      <c r="J33" s="369"/>
      <c r="K33" s="422"/>
      <c r="L33" s="369"/>
      <c r="M33" s="539" t="s">
        <v>528</v>
      </c>
      <c r="N33" s="539"/>
      <c r="O33" s="539"/>
      <c r="P33" s="369"/>
      <c r="Q33" s="367"/>
    </row>
    <row r="34" spans="1:17" ht="15.75" x14ac:dyDescent="0.25">
      <c r="A34" s="369"/>
      <c r="B34" s="369"/>
      <c r="C34" s="369"/>
      <c r="D34" s="369"/>
      <c r="E34" s="369"/>
      <c r="F34" s="369"/>
      <c r="G34" s="369"/>
      <c r="H34" s="369"/>
      <c r="I34" s="369"/>
      <c r="J34" s="369"/>
      <c r="K34" s="369"/>
      <c r="L34" s="369"/>
      <c r="M34" s="369"/>
      <c r="N34" s="369"/>
      <c r="O34" s="369"/>
      <c r="P34" s="369"/>
      <c r="Q34" s="367"/>
    </row>
    <row r="35" spans="1:17" ht="15.75" x14ac:dyDescent="0.25">
      <c r="A35" s="369"/>
      <c r="O35" s="370"/>
      <c r="P35" s="369"/>
      <c r="Q35" s="367"/>
    </row>
    <row r="38" spans="1:17" x14ac:dyDescent="0.25">
      <c r="A38" s="8"/>
      <c r="B38" s="8"/>
      <c r="D38" s="8"/>
    </row>
    <row r="39" spans="1:17" x14ac:dyDescent="0.25">
      <c r="A39" s="8"/>
      <c r="B39" s="8"/>
      <c r="D39" s="8"/>
    </row>
    <row r="40" spans="1:17" x14ac:dyDescent="0.25">
      <c r="N40" s="358"/>
    </row>
    <row r="43" spans="1:17" ht="15.75" x14ac:dyDescent="0.25">
      <c r="E43" s="369" t="s">
        <v>169</v>
      </c>
      <c r="F43" s="369"/>
      <c r="G43" s="369"/>
      <c r="H43" s="369"/>
      <c r="I43" s="369"/>
      <c r="J43" s="369"/>
      <c r="K43" s="369"/>
      <c r="L43" s="583"/>
      <c r="M43" s="583"/>
      <c r="N43" s="583"/>
    </row>
    <row r="44" spans="1:17" ht="15.75" x14ac:dyDescent="0.25">
      <c r="A44" s="369"/>
      <c r="E44" s="371" t="s">
        <v>170</v>
      </c>
      <c r="F44" s="371"/>
      <c r="G44" s="369"/>
      <c r="H44" s="369"/>
      <c r="I44" s="369"/>
      <c r="J44" s="369"/>
      <c r="K44" s="369"/>
      <c r="L44" s="581" t="s">
        <v>166</v>
      </c>
      <c r="M44" s="581"/>
      <c r="N44" s="581"/>
      <c r="O44" s="370"/>
      <c r="P44" s="369"/>
      <c r="Q44" s="367"/>
    </row>
    <row r="45" spans="1:17" ht="15.75" x14ac:dyDescent="0.25">
      <c r="A45" s="369"/>
      <c r="E45" s="369" t="s">
        <v>171</v>
      </c>
      <c r="F45" s="369"/>
      <c r="G45" s="369"/>
      <c r="H45" s="369"/>
      <c r="I45" s="369"/>
      <c r="J45" s="369"/>
      <c r="K45" s="369"/>
      <c r="L45" s="582" t="s">
        <v>167</v>
      </c>
      <c r="M45" s="582"/>
      <c r="N45" s="582"/>
      <c r="O45" s="370"/>
      <c r="P45" s="369"/>
      <c r="Q45" s="367"/>
    </row>
  </sheetData>
  <mergeCells count="13">
    <mergeCell ref="L44:N44"/>
    <mergeCell ref="L45:N45"/>
    <mergeCell ref="L43:N43"/>
    <mergeCell ref="A30:B30"/>
    <mergeCell ref="B11:P11"/>
    <mergeCell ref="A28:B28"/>
    <mergeCell ref="A29:B29"/>
    <mergeCell ref="M33:O33"/>
    <mergeCell ref="A9:P10"/>
    <mergeCell ref="A6:Q6"/>
    <mergeCell ref="A2:Q2"/>
    <mergeCell ref="A4:Q4"/>
    <mergeCell ref="B12:P1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N33">
      <formula1>INDIRECT(CONCATENATE("F_",L41))</formula1>
    </dataValidation>
  </dataValidations>
  <pageMargins left="0.11811023622047245" right="0.11811023622047245" top="0.78740157480314965" bottom="0.78740157480314965" header="0.31496062992125984" footer="0.31496062992125984"/>
  <pageSetup paperSize="9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36"/>
  <sheetViews>
    <sheetView view="pageBreakPreview" topLeftCell="B1" zoomScale="60" zoomScaleNormal="70" workbookViewId="0">
      <selection activeCell="C8" sqref="C8:D8"/>
    </sheetView>
  </sheetViews>
  <sheetFormatPr defaultColWidth="9.140625" defaultRowHeight="19.5" customHeight="1" x14ac:dyDescent="0.2"/>
  <cols>
    <col min="1" max="2" width="9.140625" style="163"/>
    <col min="3" max="3" width="53.85546875" style="163" customWidth="1"/>
    <col min="4" max="4" width="41.7109375" style="163" customWidth="1"/>
    <col min="5" max="16384" width="9.140625" style="163"/>
  </cols>
  <sheetData>
    <row r="1" spans="3:4" ht="19.5" customHeight="1" thickBot="1" x14ac:dyDescent="0.25"/>
    <row r="2" spans="3:4" ht="19.5" customHeight="1" x14ac:dyDescent="0.2">
      <c r="C2" s="543" t="s">
        <v>156</v>
      </c>
      <c r="D2" s="545"/>
    </row>
    <row r="3" spans="3:4" ht="18" x14ac:dyDescent="0.2">
      <c r="C3" s="450"/>
      <c r="D3" s="452"/>
    </row>
    <row r="4" spans="3:4" ht="19.5" customHeight="1" x14ac:dyDescent="0.2">
      <c r="C4" s="546" t="s">
        <v>155</v>
      </c>
      <c r="D4" s="548"/>
    </row>
    <row r="5" spans="3:4" s="255" customFormat="1" ht="18" x14ac:dyDescent="0.2">
      <c r="C5" s="546"/>
      <c r="D5" s="548"/>
    </row>
    <row r="6" spans="3:4" ht="19.5" customHeight="1" x14ac:dyDescent="0.2">
      <c r="C6" s="549" t="s">
        <v>531</v>
      </c>
      <c r="D6" s="551"/>
    </row>
    <row r="7" spans="3:4" ht="12.75" x14ac:dyDescent="0.2">
      <c r="C7" s="258"/>
      <c r="D7" s="259"/>
    </row>
    <row r="8" spans="3:4" ht="18" x14ac:dyDescent="0.25">
      <c r="C8" s="595" t="s">
        <v>534</v>
      </c>
      <c r="D8" s="596"/>
    </row>
    <row r="9" spans="3:4" ht="13.5" thickBot="1" x14ac:dyDescent="0.25">
      <c r="C9" s="258"/>
      <c r="D9" s="259"/>
    </row>
    <row r="10" spans="3:4" ht="19.5" customHeight="1" thickBot="1" x14ac:dyDescent="0.25">
      <c r="C10" s="593" t="s">
        <v>408</v>
      </c>
      <c r="D10" s="594"/>
    </row>
    <row r="11" spans="3:4" ht="19.5" customHeight="1" x14ac:dyDescent="0.2">
      <c r="C11" s="269" t="s">
        <v>409</v>
      </c>
      <c r="D11" s="270" t="s">
        <v>410</v>
      </c>
    </row>
    <row r="12" spans="3:4" ht="19.5" customHeight="1" x14ac:dyDescent="0.2">
      <c r="C12" s="271">
        <v>1</v>
      </c>
      <c r="D12" s="272">
        <v>33.629999999999995</v>
      </c>
    </row>
    <row r="13" spans="3:4" ht="19.5" customHeight="1" x14ac:dyDescent="0.2">
      <c r="C13" s="271">
        <v>2</v>
      </c>
      <c r="D13" s="272">
        <v>43.13</v>
      </c>
    </row>
    <row r="14" spans="3:4" ht="19.5" customHeight="1" x14ac:dyDescent="0.2">
      <c r="C14" s="271">
        <v>3</v>
      </c>
      <c r="D14" s="272">
        <v>48.68</v>
      </c>
    </row>
    <row r="15" spans="3:4" ht="19.5" customHeight="1" x14ac:dyDescent="0.2">
      <c r="C15" s="271">
        <v>4</v>
      </c>
      <c r="D15" s="272">
        <v>52.62</v>
      </c>
    </row>
    <row r="16" spans="3:4" ht="19.5" customHeight="1" x14ac:dyDescent="0.2">
      <c r="C16" s="271">
        <v>5</v>
      </c>
      <c r="D16" s="272">
        <v>55.679999999999993</v>
      </c>
    </row>
    <row r="17" spans="3:6" ht="19.5" customHeight="1" x14ac:dyDescent="0.2">
      <c r="C17" s="271">
        <v>6</v>
      </c>
      <c r="D17" s="272">
        <v>58.18</v>
      </c>
    </row>
    <row r="18" spans="3:6" ht="19.5" customHeight="1" x14ac:dyDescent="0.2">
      <c r="C18" s="271">
        <v>7</v>
      </c>
      <c r="D18" s="272">
        <v>60.29</v>
      </c>
    </row>
    <row r="19" spans="3:6" ht="19.5" customHeight="1" x14ac:dyDescent="0.2">
      <c r="C19" s="271">
        <v>8</v>
      </c>
      <c r="D19" s="272">
        <v>62.12</v>
      </c>
    </row>
    <row r="20" spans="3:6" ht="19.5" customHeight="1" x14ac:dyDescent="0.2">
      <c r="C20" s="271">
        <v>9</v>
      </c>
      <c r="D20" s="272">
        <v>63.73</v>
      </c>
    </row>
    <row r="21" spans="3:6" ht="19.5" customHeight="1" x14ac:dyDescent="0.2">
      <c r="C21" s="449">
        <v>10</v>
      </c>
      <c r="D21" s="448">
        <v>65.180000000000007</v>
      </c>
    </row>
    <row r="22" spans="3:6" ht="19.5" customHeight="1" x14ac:dyDescent="0.2">
      <c r="C22" s="271">
        <v>11</v>
      </c>
      <c r="D22" s="272">
        <v>66.47999999999999</v>
      </c>
    </row>
    <row r="23" spans="3:6" ht="19.5" customHeight="1" x14ac:dyDescent="0.2">
      <c r="C23" s="271">
        <v>12</v>
      </c>
      <c r="D23" s="272">
        <v>67.67</v>
      </c>
    </row>
    <row r="24" spans="3:6" ht="19.5" customHeight="1" x14ac:dyDescent="0.2">
      <c r="C24" s="271">
        <v>13</v>
      </c>
      <c r="D24" s="272">
        <v>68.77</v>
      </c>
    </row>
    <row r="25" spans="3:6" ht="19.5" customHeight="1" x14ac:dyDescent="0.2">
      <c r="C25" s="271">
        <v>14</v>
      </c>
      <c r="D25" s="272">
        <v>69.789999999999992</v>
      </c>
    </row>
    <row r="26" spans="3:6" ht="19.5" customHeight="1" thickBot="1" x14ac:dyDescent="0.25">
      <c r="C26" s="273">
        <v>15</v>
      </c>
      <c r="D26" s="274">
        <v>70.73</v>
      </c>
    </row>
    <row r="27" spans="3:6" ht="19.5" customHeight="1" x14ac:dyDescent="0.2">
      <c r="C27" s="258"/>
      <c r="D27" s="259"/>
    </row>
    <row r="28" spans="3:6" ht="19.5" customHeight="1" x14ac:dyDescent="0.2">
      <c r="C28" s="662" t="s">
        <v>529</v>
      </c>
      <c r="D28" s="663"/>
      <c r="E28" s="477"/>
      <c r="F28" s="476"/>
    </row>
    <row r="29" spans="3:6" ht="19.5" customHeight="1" x14ac:dyDescent="0.2">
      <c r="C29" s="238"/>
      <c r="D29" s="480"/>
      <c r="E29" s="477"/>
      <c r="F29" s="476"/>
    </row>
    <row r="30" spans="3:6" ht="19.5" customHeight="1" x14ac:dyDescent="0.2">
      <c r="C30" s="238"/>
      <c r="D30" s="480"/>
      <c r="E30" s="477"/>
      <c r="F30" s="476"/>
    </row>
    <row r="31" spans="3:6" ht="19.5" customHeight="1" x14ac:dyDescent="0.2">
      <c r="C31" s="238"/>
      <c r="D31" s="357"/>
      <c r="E31" s="479"/>
    </row>
    <row r="32" spans="3:6" ht="19.5" customHeight="1" x14ac:dyDescent="0.2">
      <c r="C32" s="238"/>
      <c r="D32" s="357"/>
      <c r="E32" s="260"/>
    </row>
    <row r="33" spans="3:5" ht="19.5" customHeight="1" x14ac:dyDescent="0.2">
      <c r="C33" s="362" t="s">
        <v>411</v>
      </c>
      <c r="D33" s="373" t="s">
        <v>412</v>
      </c>
      <c r="E33" s="24"/>
    </row>
    <row r="34" spans="3:5" ht="19.5" customHeight="1" x14ac:dyDescent="0.2">
      <c r="C34" s="464" t="s">
        <v>168</v>
      </c>
      <c r="D34" s="459" t="s">
        <v>166</v>
      </c>
      <c r="E34" s="248"/>
    </row>
    <row r="35" spans="3:5" ht="19.5" customHeight="1" x14ac:dyDescent="0.2">
      <c r="C35" s="465" t="s">
        <v>172</v>
      </c>
      <c r="D35" s="460" t="s">
        <v>167</v>
      </c>
      <c r="E35" s="275"/>
    </row>
    <row r="36" spans="3:5" ht="19.5" customHeight="1" thickBot="1" x14ac:dyDescent="0.25">
      <c r="C36" s="374"/>
      <c r="D36" s="366"/>
    </row>
  </sheetData>
  <mergeCells count="7">
    <mergeCell ref="C28:D28"/>
    <mergeCell ref="C2:D2"/>
    <mergeCell ref="C4:D4"/>
    <mergeCell ref="C5:D5"/>
    <mergeCell ref="C6:D6"/>
    <mergeCell ref="C10:D10"/>
    <mergeCell ref="C8:D8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E28:E30">
      <formula1>INDIRECT(CONCATENATE("F_",C38))</formula1>
    </dataValidation>
  </dataValidations>
  <hyperlinks>
    <hyperlink ref="B268" location="AbaRemun" display="3.1.2. Remuneração do Capital"/>
    <hyperlink ref="B252" location="AbaDeprec" display="3.1.1. Depreciação"/>
    <hyperlink ref="B339" location="AbaRemun" display="3.1.2. Remuneração do Capital"/>
    <hyperlink ref="B323" location="AbaDeprec" display="3.1.1. Depreciação"/>
  </hyperlinks>
  <pageMargins left="1.1023622047244095" right="0.70866141732283472" top="1.1417322834645669" bottom="0.74803149606299213" header="0.31496062992125984" footer="0.31496062992125984"/>
  <pageSetup paperSize="9" scale="80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BreakPreview" topLeftCell="A10" zoomScale="60" zoomScaleNormal="60" workbookViewId="0">
      <selection activeCell="H6" sqref="H6"/>
    </sheetView>
  </sheetViews>
  <sheetFormatPr defaultRowHeight="15" x14ac:dyDescent="0.25"/>
  <cols>
    <col min="1" max="1" width="3.7109375" style="8" customWidth="1"/>
    <col min="2" max="2" width="15.7109375" style="8" customWidth="1"/>
    <col min="3" max="3" width="46.28515625" style="8" customWidth="1"/>
    <col min="4" max="4" width="11.5703125" style="8" customWidth="1"/>
    <col min="5" max="5" width="7.28515625" style="8" bestFit="1" customWidth="1"/>
    <col min="6" max="6" width="11.5703125" style="8" bestFit="1" customWidth="1"/>
    <col min="7" max="7" width="12.7109375" style="8" customWidth="1"/>
    <col min="8" max="8" width="12.140625" style="8" customWidth="1"/>
    <col min="9" max="9" width="23.5703125" style="8" customWidth="1"/>
    <col min="10" max="10" width="13.140625" style="8" customWidth="1"/>
    <col min="11" max="16384" width="9.140625" style="8"/>
  </cols>
  <sheetData>
    <row r="1" spans="1:26" ht="15.75" thickBot="1" x14ac:dyDescent="0.3"/>
    <row r="2" spans="1:26" x14ac:dyDescent="0.25">
      <c r="B2" s="384"/>
      <c r="C2" s="385"/>
      <c r="D2" s="385"/>
      <c r="E2" s="385"/>
      <c r="F2" s="385"/>
      <c r="G2" s="385"/>
      <c r="H2" s="385"/>
      <c r="I2" s="385"/>
      <c r="J2" s="386"/>
    </row>
    <row r="3" spans="1:26" ht="18" x14ac:dyDescent="0.25">
      <c r="B3" s="546" t="s">
        <v>156</v>
      </c>
      <c r="C3" s="547"/>
      <c r="D3" s="547"/>
      <c r="E3" s="547"/>
      <c r="F3" s="547"/>
      <c r="G3" s="547"/>
      <c r="H3" s="547"/>
      <c r="I3" s="547"/>
      <c r="J3" s="548"/>
    </row>
    <row r="4" spans="1:26" x14ac:dyDescent="0.25">
      <c r="B4" s="16"/>
      <c r="C4" s="17"/>
      <c r="D4" s="17"/>
      <c r="E4" s="18"/>
      <c r="F4" s="18"/>
      <c r="G4" s="18"/>
      <c r="H4" s="162"/>
      <c r="I4" s="162"/>
      <c r="J4" s="259"/>
    </row>
    <row r="5" spans="1:26" ht="18" x14ac:dyDescent="0.25">
      <c r="B5" s="546" t="s">
        <v>155</v>
      </c>
      <c r="C5" s="547"/>
      <c r="D5" s="547"/>
      <c r="E5" s="547"/>
      <c r="F5" s="547"/>
      <c r="G5" s="547"/>
      <c r="H5" s="547"/>
      <c r="I5" s="547"/>
      <c r="J5" s="548"/>
    </row>
    <row r="6" spans="1:26" x14ac:dyDescent="0.25">
      <c r="B6" s="16"/>
      <c r="C6" s="20"/>
      <c r="D6" s="20"/>
      <c r="E6" s="20"/>
      <c r="F6" s="20"/>
      <c r="G6" s="20"/>
      <c r="H6" s="162"/>
      <c r="I6" s="162"/>
      <c r="J6" s="259"/>
    </row>
    <row r="7" spans="1:26" ht="18" x14ac:dyDescent="0.25">
      <c r="B7" s="549" t="s">
        <v>531</v>
      </c>
      <c r="C7" s="550"/>
      <c r="D7" s="550"/>
      <c r="E7" s="550"/>
      <c r="F7" s="550"/>
      <c r="G7" s="550"/>
      <c r="H7" s="550"/>
      <c r="I7" s="550"/>
      <c r="J7" s="551"/>
    </row>
    <row r="8" spans="1:26" s="12" customFormat="1" x14ac:dyDescent="0.25">
      <c r="B8" s="16"/>
      <c r="C8" s="26"/>
      <c r="D8" s="26"/>
      <c r="E8" s="26"/>
      <c r="F8" s="26"/>
      <c r="G8" s="26"/>
      <c r="J8" s="262"/>
    </row>
    <row r="9" spans="1:26" s="12" customFormat="1" ht="18" x14ac:dyDescent="0.25">
      <c r="B9" s="549" t="s">
        <v>534</v>
      </c>
      <c r="C9" s="550"/>
      <c r="D9" s="550"/>
      <c r="E9" s="550"/>
      <c r="F9" s="550"/>
      <c r="G9" s="550"/>
      <c r="H9" s="550"/>
      <c r="I9" s="550"/>
      <c r="J9" s="551"/>
    </row>
    <row r="10" spans="1:26" ht="15.75" thickBot="1" x14ac:dyDescent="0.3">
      <c r="B10" s="263"/>
      <c r="C10" s="12"/>
      <c r="D10" s="12"/>
      <c r="E10" s="12"/>
      <c r="F10" s="12"/>
      <c r="G10" s="12"/>
      <c r="H10" s="12"/>
      <c r="I10" s="12"/>
      <c r="J10" s="262"/>
    </row>
    <row r="11" spans="1:26" s="264" customFormat="1" ht="30" customHeight="1" thickBot="1" x14ac:dyDescent="0.3">
      <c r="B11" s="614" t="s">
        <v>493</v>
      </c>
      <c r="C11" s="615"/>
      <c r="D11" s="615"/>
      <c r="E11" s="615"/>
      <c r="F11" s="615"/>
      <c r="G11" s="615"/>
      <c r="H11" s="615"/>
      <c r="I11" s="615"/>
      <c r="J11" s="616"/>
    </row>
    <row r="12" spans="1:26" s="264" customFormat="1" ht="38.25" customHeight="1" thickBot="1" x14ac:dyDescent="0.3">
      <c r="B12" s="462" t="s">
        <v>383</v>
      </c>
      <c r="C12" s="504" t="s">
        <v>384</v>
      </c>
      <c r="D12" s="505" t="s">
        <v>385</v>
      </c>
      <c r="E12" s="506" t="s">
        <v>386</v>
      </c>
      <c r="F12" s="507" t="s">
        <v>387</v>
      </c>
      <c r="G12" s="507" t="s">
        <v>388</v>
      </c>
      <c r="H12" s="508" t="s">
        <v>163</v>
      </c>
      <c r="I12" s="463" t="s">
        <v>389</v>
      </c>
      <c r="J12" s="265" t="s">
        <v>390</v>
      </c>
    </row>
    <row r="13" spans="1:26" s="264" customFormat="1" ht="87" customHeight="1" x14ac:dyDescent="0.25">
      <c r="B13" s="621" t="s">
        <v>391</v>
      </c>
      <c r="C13" s="509" t="s">
        <v>523</v>
      </c>
      <c r="D13" s="520">
        <f>L13</f>
        <v>6.84</v>
      </c>
      <c r="E13" s="521">
        <v>26</v>
      </c>
      <c r="F13" s="521">
        <f>D13*E13</f>
        <v>177.84</v>
      </c>
      <c r="G13" s="521">
        <v>1</v>
      </c>
      <c r="H13" s="522">
        <f>F13*G13</f>
        <v>177.84</v>
      </c>
      <c r="I13" s="623" t="s">
        <v>392</v>
      </c>
      <c r="J13" s="625" t="s">
        <v>527</v>
      </c>
      <c r="K13" s="22">
        <f>(75+20)*9*8</f>
        <v>6840</v>
      </c>
      <c r="L13" s="266">
        <f>K13/1000</f>
        <v>6.84</v>
      </c>
    </row>
    <row r="14" spans="1:26" s="22" customFormat="1" ht="99.75" customHeight="1" thickBot="1" x14ac:dyDescent="0.3">
      <c r="B14" s="622"/>
      <c r="C14" s="510" t="s">
        <v>524</v>
      </c>
      <c r="D14" s="523">
        <f>L14</f>
        <v>6.84</v>
      </c>
      <c r="E14" s="524">
        <v>26</v>
      </c>
      <c r="F14" s="524">
        <f>D14*E14</f>
        <v>177.84</v>
      </c>
      <c r="G14" s="524">
        <v>1</v>
      </c>
      <c r="H14" s="525">
        <f>F14*G14</f>
        <v>177.84</v>
      </c>
      <c r="I14" s="624"/>
      <c r="J14" s="626"/>
      <c r="K14" s="22">
        <f>(75+20)*9*8</f>
        <v>6840</v>
      </c>
      <c r="L14" s="266">
        <f>K14/1000</f>
        <v>6.84</v>
      </c>
    </row>
    <row r="15" spans="1:26" s="22" customFormat="1" ht="37.5" customHeight="1" x14ac:dyDescent="0.25">
      <c r="A15" s="22" t="s">
        <v>395</v>
      </c>
      <c r="B15" s="492" t="s">
        <v>396</v>
      </c>
      <c r="C15" s="515" t="s">
        <v>397</v>
      </c>
      <c r="D15" s="496">
        <f>Z15</f>
        <v>17.809999999999999</v>
      </c>
      <c r="E15" s="497">
        <f t="shared" ref="E15:E24" si="0">$E$13/2</f>
        <v>13</v>
      </c>
      <c r="F15" s="497">
        <f t="shared" ref="F15:F23" si="1">D15*E15</f>
        <v>231.52999999999997</v>
      </c>
      <c r="G15" s="497">
        <v>1</v>
      </c>
      <c r="H15" s="498">
        <f t="shared" ref="H15:H23" si="2">F15*G15</f>
        <v>231.52999999999997</v>
      </c>
      <c r="I15" s="617" t="s">
        <v>393</v>
      </c>
      <c r="J15" s="619" t="s">
        <v>394</v>
      </c>
      <c r="K15" s="22">
        <f>(75+20)*5</f>
        <v>475</v>
      </c>
      <c r="L15" s="22">
        <f>400*2</f>
        <v>800</v>
      </c>
      <c r="M15" s="22">
        <f>200*2</f>
        <v>400</v>
      </c>
      <c r="N15" s="22">
        <v>300</v>
      </c>
      <c r="O15" s="48">
        <f>L15+M15+N15</f>
        <v>1500</v>
      </c>
      <c r="P15" s="22">
        <f>(75+20)*8*6</f>
        <v>4560</v>
      </c>
      <c r="Q15" s="22">
        <f>(75+20)*5*10</f>
        <v>4750</v>
      </c>
      <c r="R15" s="48">
        <f>P15+Q15</f>
        <v>9310</v>
      </c>
      <c r="S15" s="22">
        <f>(75+20)*5*4</f>
        <v>1900</v>
      </c>
      <c r="T15" s="22">
        <f>(75+20)*5*5</f>
        <v>2375</v>
      </c>
      <c r="U15" s="48">
        <f>S15+T15</f>
        <v>4275</v>
      </c>
      <c r="V15" s="22">
        <f>(75+15)*4*3+(75+15)*3*1</f>
        <v>1350</v>
      </c>
      <c r="W15" s="22">
        <f>(75+15)*4*2+(75+15)*2*1</f>
        <v>900</v>
      </c>
      <c r="X15" s="48">
        <f>V15+W15</f>
        <v>2250</v>
      </c>
      <c r="Y15" s="22">
        <f>K15+O15+R15+U15+X15</f>
        <v>17810</v>
      </c>
      <c r="Z15" s="267">
        <f>Y15/1000</f>
        <v>17.809999999999999</v>
      </c>
    </row>
    <row r="16" spans="1:26" s="22" customFormat="1" ht="26.25" customHeight="1" x14ac:dyDescent="0.25">
      <c r="B16" s="518" t="s">
        <v>402</v>
      </c>
      <c r="C16" s="516" t="s">
        <v>522</v>
      </c>
      <c r="D16" s="499">
        <f>P16</f>
        <v>3.4249999999999998</v>
      </c>
      <c r="E16" s="497">
        <f t="shared" si="0"/>
        <v>13</v>
      </c>
      <c r="F16" s="497">
        <f t="shared" ref="F16" si="3">D16*E16</f>
        <v>44.524999999999999</v>
      </c>
      <c r="G16" s="500">
        <v>1</v>
      </c>
      <c r="H16" s="498">
        <f t="shared" ref="H16" si="4">F16*G16</f>
        <v>44.524999999999999</v>
      </c>
      <c r="I16" s="617"/>
      <c r="J16" s="619"/>
      <c r="K16" s="22">
        <f>(75+20)*5</f>
        <v>475</v>
      </c>
      <c r="L16" s="22">
        <f>(350*2*2)+(350*1*1)+(300*3)</f>
        <v>2650</v>
      </c>
      <c r="M16" s="22">
        <f>100*3</f>
        <v>300</v>
      </c>
      <c r="N16" s="48">
        <f>L16+M16</f>
        <v>2950</v>
      </c>
      <c r="O16" s="225">
        <f>K16+N16</f>
        <v>3425</v>
      </c>
      <c r="P16" s="268">
        <f>O16/1000</f>
        <v>3.4249999999999998</v>
      </c>
    </row>
    <row r="17" spans="2:24" s="22" customFormat="1" ht="27" customHeight="1" thickBot="1" x14ac:dyDescent="0.3">
      <c r="B17" s="519" t="s">
        <v>399</v>
      </c>
      <c r="C17" s="517" t="s">
        <v>519</v>
      </c>
      <c r="D17" s="501">
        <f>R17</f>
        <v>5.94</v>
      </c>
      <c r="E17" s="502">
        <f t="shared" si="0"/>
        <v>13</v>
      </c>
      <c r="F17" s="502">
        <f t="shared" ref="F17:F22" si="5">D17*E17</f>
        <v>77.22</v>
      </c>
      <c r="G17" s="502">
        <v>1</v>
      </c>
      <c r="H17" s="503">
        <f t="shared" ref="H17:H22" si="6">F17*G17</f>
        <v>77.22</v>
      </c>
      <c r="I17" s="618"/>
      <c r="J17" s="620"/>
      <c r="K17" s="22">
        <f>(75+15)*5*3</f>
        <v>1350</v>
      </c>
      <c r="L17" s="22">
        <f>(75+15)*3*5</f>
        <v>1350</v>
      </c>
      <c r="M17" s="48">
        <f>K17+L17</f>
        <v>2700</v>
      </c>
      <c r="N17" s="22">
        <f>(75+15)*8*2+(75+15)*2*1</f>
        <v>1620</v>
      </c>
      <c r="O17" s="22">
        <f>+(75+15)*3*6</f>
        <v>1620</v>
      </c>
      <c r="P17" s="48">
        <f>N17+O17</f>
        <v>3240</v>
      </c>
      <c r="Q17" s="225">
        <f>M17+P17</f>
        <v>5940</v>
      </c>
      <c r="R17" s="268">
        <f>Q17/1000</f>
        <v>5.94</v>
      </c>
    </row>
    <row r="18" spans="2:24" s="22" customFormat="1" ht="31.5" customHeight="1" x14ac:dyDescent="0.25">
      <c r="B18" s="637" t="s">
        <v>402</v>
      </c>
      <c r="C18" s="511" t="s">
        <v>521</v>
      </c>
      <c r="D18" s="526">
        <f>V18</f>
        <v>11.855</v>
      </c>
      <c r="E18" s="527">
        <f t="shared" si="0"/>
        <v>13</v>
      </c>
      <c r="F18" s="527">
        <f t="shared" si="5"/>
        <v>154.11500000000001</v>
      </c>
      <c r="G18" s="527">
        <v>1</v>
      </c>
      <c r="H18" s="528">
        <f t="shared" si="6"/>
        <v>154.11500000000001</v>
      </c>
      <c r="I18" s="645" t="s">
        <v>400</v>
      </c>
      <c r="J18" s="597" t="s">
        <v>394</v>
      </c>
      <c r="K18" s="22">
        <f>(75+20)*5</f>
        <v>475</v>
      </c>
      <c r="L18" s="22">
        <f>(75+20)*8*3</f>
        <v>2280</v>
      </c>
      <c r="M18" s="22">
        <f>(75+20)*4*5</f>
        <v>1900</v>
      </c>
      <c r="N18" s="48">
        <f>L18+M18</f>
        <v>4180</v>
      </c>
      <c r="O18" s="22">
        <f>(75+15)*8*1+(75+15)*10*2+(75+15)*6*2</f>
        <v>3600</v>
      </c>
      <c r="P18" s="22">
        <f>(75+15)*5*5+(75+15)*4*2</f>
        <v>2970</v>
      </c>
      <c r="Q18" s="48">
        <f>O18+P18</f>
        <v>6570</v>
      </c>
      <c r="R18" s="22">
        <f>(75+15)*2*2</f>
        <v>360</v>
      </c>
      <c r="S18" s="22">
        <f>+(75+15)*3*1</f>
        <v>270</v>
      </c>
      <c r="T18" s="48">
        <f>R18+S18</f>
        <v>630</v>
      </c>
      <c r="U18" s="225">
        <f>K18+N18+Q18+T18</f>
        <v>11855</v>
      </c>
      <c r="V18" s="268">
        <f>U18/1000</f>
        <v>11.855</v>
      </c>
    </row>
    <row r="19" spans="2:24" s="22" customFormat="1" ht="20.25" customHeight="1" x14ac:dyDescent="0.25">
      <c r="B19" s="641"/>
      <c r="C19" s="512" t="s">
        <v>403</v>
      </c>
      <c r="D19" s="529">
        <f>M19</f>
        <v>2.5</v>
      </c>
      <c r="E19" s="530">
        <f t="shared" si="0"/>
        <v>13</v>
      </c>
      <c r="F19" s="530">
        <f t="shared" si="5"/>
        <v>32.5</v>
      </c>
      <c r="G19" s="530">
        <v>2</v>
      </c>
      <c r="H19" s="531">
        <f t="shared" si="6"/>
        <v>65</v>
      </c>
      <c r="I19" s="646"/>
      <c r="J19" s="598"/>
      <c r="L19" s="22">
        <v>2500</v>
      </c>
      <c r="M19" s="266">
        <f>L19/1000</f>
        <v>2.5</v>
      </c>
    </row>
    <row r="20" spans="2:24" s="22" customFormat="1" ht="17.25" customHeight="1" x14ac:dyDescent="0.25">
      <c r="B20" s="641" t="s">
        <v>399</v>
      </c>
      <c r="C20" s="512" t="s">
        <v>520</v>
      </c>
      <c r="D20" s="529">
        <f>O20</f>
        <v>5.6950000000000003</v>
      </c>
      <c r="E20" s="530">
        <f t="shared" si="0"/>
        <v>13</v>
      </c>
      <c r="F20" s="530">
        <f t="shared" si="5"/>
        <v>74.034999999999997</v>
      </c>
      <c r="G20" s="530">
        <v>1</v>
      </c>
      <c r="H20" s="531">
        <f t="shared" si="6"/>
        <v>74.034999999999997</v>
      </c>
      <c r="I20" s="646"/>
      <c r="J20" s="598"/>
      <c r="K20" s="22">
        <f>(75+20)*5</f>
        <v>475</v>
      </c>
      <c r="L20" s="22">
        <f>(75+15)*10*4</f>
        <v>3600</v>
      </c>
      <c r="M20" s="22">
        <f>(75+15)*3*6</f>
        <v>1620</v>
      </c>
      <c r="N20" s="48">
        <f>K20+L20+M20</f>
        <v>5695</v>
      </c>
      <c r="O20" s="493">
        <f>N20/1000</f>
        <v>5.6950000000000003</v>
      </c>
    </row>
    <row r="21" spans="2:24" s="22" customFormat="1" ht="21" customHeight="1" x14ac:dyDescent="0.25">
      <c r="B21" s="641"/>
      <c r="C21" s="513" t="s">
        <v>401</v>
      </c>
      <c r="D21" s="529">
        <f>M21</f>
        <v>23</v>
      </c>
      <c r="E21" s="530">
        <f t="shared" si="0"/>
        <v>13</v>
      </c>
      <c r="F21" s="530">
        <f t="shared" si="5"/>
        <v>299</v>
      </c>
      <c r="G21" s="530">
        <v>2</v>
      </c>
      <c r="H21" s="531">
        <f t="shared" si="6"/>
        <v>598</v>
      </c>
      <c r="I21" s="646"/>
      <c r="J21" s="598"/>
      <c r="L21" s="22">
        <v>23000</v>
      </c>
      <c r="M21" s="268">
        <f>L21/1000</f>
        <v>23</v>
      </c>
    </row>
    <row r="22" spans="2:24" s="22" customFormat="1" ht="18.75" customHeight="1" x14ac:dyDescent="0.25">
      <c r="B22" s="636" t="s">
        <v>404</v>
      </c>
      <c r="C22" s="513" t="s">
        <v>518</v>
      </c>
      <c r="D22" s="529">
        <f>X22</f>
        <v>17.475000000000001</v>
      </c>
      <c r="E22" s="530">
        <f t="shared" si="0"/>
        <v>13</v>
      </c>
      <c r="F22" s="530">
        <f t="shared" si="5"/>
        <v>227.17500000000001</v>
      </c>
      <c r="G22" s="530">
        <v>1</v>
      </c>
      <c r="H22" s="531">
        <f t="shared" si="6"/>
        <v>227.17500000000001</v>
      </c>
      <c r="I22" s="646"/>
      <c r="J22" s="598"/>
      <c r="K22" s="22">
        <f>(75+20)*5</f>
        <v>475</v>
      </c>
      <c r="M22" s="22">
        <f>1450*2</f>
        <v>2900</v>
      </c>
      <c r="N22" s="22">
        <f>9*600</f>
        <v>5400</v>
      </c>
      <c r="O22" s="22">
        <f>2*600</f>
        <v>1200</v>
      </c>
      <c r="P22" s="22">
        <f>2*450</f>
        <v>900</v>
      </c>
      <c r="Q22" s="22">
        <f>1*200</f>
        <v>200</v>
      </c>
      <c r="R22" s="22">
        <f>4*450</f>
        <v>1800</v>
      </c>
      <c r="S22" s="22">
        <f>3*300</f>
        <v>900</v>
      </c>
      <c r="T22" s="22">
        <v>2500</v>
      </c>
      <c r="U22" s="48">
        <f>SUM(L22:T22)</f>
        <v>15800</v>
      </c>
      <c r="V22" s="48">
        <f>600*2</f>
        <v>1200</v>
      </c>
      <c r="W22" s="22">
        <f>K22+U22+V22</f>
        <v>17475</v>
      </c>
      <c r="X22" s="268">
        <f>W22/1000</f>
        <v>17.475000000000001</v>
      </c>
    </row>
    <row r="23" spans="2:24" s="22" customFormat="1" ht="24" customHeight="1" x14ac:dyDescent="0.25">
      <c r="B23" s="637"/>
      <c r="C23" s="513" t="s">
        <v>405</v>
      </c>
      <c r="D23" s="529">
        <f>M23</f>
        <v>5.633</v>
      </c>
      <c r="E23" s="530">
        <f t="shared" si="0"/>
        <v>13</v>
      </c>
      <c r="F23" s="530">
        <f t="shared" si="1"/>
        <v>73.228999999999999</v>
      </c>
      <c r="G23" s="530">
        <v>2</v>
      </c>
      <c r="H23" s="531">
        <f t="shared" si="2"/>
        <v>146.458</v>
      </c>
      <c r="I23" s="646"/>
      <c r="J23" s="598"/>
      <c r="L23" s="22">
        <f>(7633-2000)</f>
        <v>5633</v>
      </c>
      <c r="M23" s="268">
        <f>L23/1000</f>
        <v>5.633</v>
      </c>
    </row>
    <row r="24" spans="2:24" s="22" customFormat="1" ht="36.75" customHeight="1" thickBot="1" x14ac:dyDescent="0.3">
      <c r="B24" s="495" t="s">
        <v>396</v>
      </c>
      <c r="C24" s="514" t="s">
        <v>398</v>
      </c>
      <c r="D24" s="532">
        <f>Q24</f>
        <v>27.5</v>
      </c>
      <c r="E24" s="533">
        <f t="shared" si="0"/>
        <v>13</v>
      </c>
      <c r="F24" s="533">
        <f>D24*E24</f>
        <v>357.5</v>
      </c>
      <c r="G24" s="533">
        <v>2</v>
      </c>
      <c r="H24" s="534">
        <f>F24*G24</f>
        <v>715</v>
      </c>
      <c r="I24" s="647"/>
      <c r="J24" s="599"/>
      <c r="L24" s="24">
        <f>2000</f>
        <v>2000</v>
      </c>
      <c r="M24" s="24">
        <f>18000</f>
        <v>18000</v>
      </c>
      <c r="N24" s="24">
        <f>4500</f>
        <v>4500</v>
      </c>
      <c r="O24" s="24">
        <f>3000</f>
        <v>3000</v>
      </c>
      <c r="P24" s="225">
        <f>SUM(K24:O24)</f>
        <v>27500</v>
      </c>
      <c r="Q24" s="268">
        <f>P24/1000</f>
        <v>27.5</v>
      </c>
    </row>
    <row r="25" spans="2:24" s="22" customFormat="1" ht="12.75" customHeight="1" x14ac:dyDescent="0.25">
      <c r="B25" s="632" t="s">
        <v>406</v>
      </c>
      <c r="C25" s="602" t="s">
        <v>407</v>
      </c>
      <c r="D25" s="605">
        <f>N26</f>
        <v>67</v>
      </c>
      <c r="E25" s="608">
        <f>$E$13</f>
        <v>26</v>
      </c>
      <c r="F25" s="608">
        <f>D25*E25</f>
        <v>1742</v>
      </c>
      <c r="G25" s="608">
        <v>2</v>
      </c>
      <c r="H25" s="611">
        <f>F25*G25</f>
        <v>3484</v>
      </c>
      <c r="I25" s="634" t="s">
        <v>525</v>
      </c>
      <c r="J25" s="642"/>
    </row>
    <row r="26" spans="2:24" s="22" customFormat="1" x14ac:dyDescent="0.25">
      <c r="B26" s="632"/>
      <c r="C26" s="603"/>
      <c r="D26" s="606"/>
      <c r="E26" s="609"/>
      <c r="F26" s="609"/>
      <c r="G26" s="609"/>
      <c r="H26" s="612"/>
      <c r="I26" s="591"/>
      <c r="J26" s="643"/>
      <c r="K26" s="22">
        <v>2000</v>
      </c>
      <c r="L26" s="22">
        <v>65000</v>
      </c>
      <c r="M26" s="22">
        <f>K26+L26</f>
        <v>67000</v>
      </c>
      <c r="N26" s="268">
        <f>M26/1000</f>
        <v>67</v>
      </c>
    </row>
    <row r="27" spans="2:24" s="22" customFormat="1" ht="15.75" thickBot="1" x14ac:dyDescent="0.3">
      <c r="B27" s="633"/>
      <c r="C27" s="604"/>
      <c r="D27" s="607"/>
      <c r="E27" s="610"/>
      <c r="F27" s="610"/>
      <c r="G27" s="610"/>
      <c r="H27" s="613"/>
      <c r="I27" s="635"/>
      <c r="J27" s="644"/>
    </row>
    <row r="28" spans="2:24" s="22" customFormat="1" ht="15.75" thickBot="1" x14ac:dyDescent="0.3">
      <c r="B28" s="638"/>
      <c r="C28" s="639"/>
      <c r="D28" s="639"/>
      <c r="E28" s="639"/>
      <c r="F28" s="639"/>
      <c r="G28" s="639"/>
      <c r="H28" s="639"/>
      <c r="I28" s="639"/>
      <c r="J28" s="640"/>
    </row>
    <row r="29" spans="2:24" s="22" customFormat="1" ht="23.25" customHeight="1" thickBot="1" x14ac:dyDescent="0.3">
      <c r="B29" s="628" t="s">
        <v>526</v>
      </c>
      <c r="C29" s="629"/>
      <c r="D29" s="629"/>
      <c r="E29" s="629"/>
      <c r="F29" s="629"/>
      <c r="G29" s="629"/>
      <c r="H29" s="536">
        <f>SUM(H13:H28)</f>
        <v>6172.7380000000003</v>
      </c>
      <c r="I29" s="600"/>
      <c r="J29" s="601"/>
    </row>
    <row r="30" spans="2:24" s="22" customFormat="1" x14ac:dyDescent="0.25">
      <c r="B30" s="375"/>
      <c r="C30" s="376"/>
      <c r="D30" s="376"/>
      <c r="E30" s="376"/>
      <c r="F30" s="376"/>
      <c r="G30" s="376"/>
      <c r="H30" s="376"/>
      <c r="I30" s="376"/>
      <c r="J30" s="377"/>
    </row>
    <row r="31" spans="2:24" s="22" customFormat="1" ht="15.75" x14ac:dyDescent="0.25">
      <c r="B31" s="375"/>
      <c r="C31" s="376"/>
      <c r="D31" s="376"/>
      <c r="E31" s="376"/>
      <c r="F31" s="376"/>
      <c r="G31" s="630" t="s">
        <v>529</v>
      </c>
      <c r="H31" s="630"/>
      <c r="I31" s="630"/>
      <c r="J31" s="377"/>
    </row>
    <row r="32" spans="2:24" s="22" customFormat="1" ht="15.75" x14ac:dyDescent="0.25">
      <c r="B32" s="375"/>
      <c r="C32" s="376"/>
      <c r="D32" s="376"/>
      <c r="E32" s="376"/>
      <c r="F32" s="376"/>
      <c r="G32" s="481"/>
      <c r="H32" s="481"/>
      <c r="I32" s="481"/>
      <c r="J32" s="377"/>
    </row>
    <row r="33" spans="2:13" s="22" customFormat="1" ht="15.75" x14ac:dyDescent="0.25">
      <c r="B33" s="239"/>
      <c r="C33" s="24"/>
      <c r="D33" s="24"/>
      <c r="E33" s="24"/>
      <c r="F33" s="24"/>
      <c r="G33" s="24"/>
      <c r="H33" s="24"/>
      <c r="I33" s="481"/>
      <c r="J33" s="377"/>
    </row>
    <row r="34" spans="2:13" s="22" customFormat="1" ht="15.75" x14ac:dyDescent="0.25">
      <c r="B34" s="375"/>
      <c r="C34" s="376"/>
      <c r="D34" s="376"/>
      <c r="E34" s="376"/>
      <c r="F34" s="376"/>
      <c r="G34" s="481"/>
      <c r="H34" s="481"/>
      <c r="I34" s="481"/>
      <c r="J34" s="377"/>
    </row>
    <row r="35" spans="2:13" s="22" customFormat="1" ht="15.75" x14ac:dyDescent="0.25">
      <c r="B35" s="375"/>
      <c r="C35" s="376"/>
      <c r="D35" s="376"/>
      <c r="E35" s="376"/>
      <c r="F35" s="376"/>
      <c r="G35" s="481"/>
      <c r="H35" s="481"/>
      <c r="I35" s="481"/>
      <c r="J35" s="377"/>
    </row>
    <row r="36" spans="2:13" s="22" customFormat="1" ht="15.75" x14ac:dyDescent="0.25">
      <c r="B36" s="375"/>
      <c r="C36" s="376"/>
      <c r="D36" s="376"/>
      <c r="E36" s="376"/>
      <c r="F36" s="376"/>
      <c r="G36" s="481"/>
      <c r="H36" s="481"/>
      <c r="I36" s="481"/>
      <c r="J36" s="377"/>
      <c r="M36" s="494"/>
    </row>
    <row r="37" spans="2:13" s="22" customFormat="1" ht="15.75" x14ac:dyDescent="0.25">
      <c r="B37" s="375"/>
      <c r="C37" s="376"/>
      <c r="D37" s="376"/>
      <c r="E37" s="376"/>
      <c r="F37" s="376"/>
      <c r="G37" s="481"/>
      <c r="H37" s="481"/>
      <c r="I37" s="481"/>
      <c r="J37" s="377"/>
    </row>
    <row r="38" spans="2:13" s="22" customFormat="1" x14ac:dyDescent="0.25">
      <c r="B38" s="362"/>
      <c r="C38" s="363"/>
      <c r="D38" s="363"/>
      <c r="E38" s="363"/>
      <c r="F38" s="363"/>
      <c r="G38" s="363"/>
      <c r="H38" s="363"/>
      <c r="I38" s="363"/>
      <c r="J38" s="377"/>
    </row>
    <row r="39" spans="2:13" s="22" customFormat="1" x14ac:dyDescent="0.25">
      <c r="B39" s="362"/>
      <c r="C39" s="363"/>
      <c r="D39" s="363"/>
      <c r="E39" s="363"/>
      <c r="F39" s="363"/>
      <c r="G39" s="363"/>
      <c r="H39" s="363"/>
      <c r="I39" s="363"/>
      <c r="J39" s="377"/>
    </row>
    <row r="40" spans="2:13" ht="15.75" x14ac:dyDescent="0.25">
      <c r="B40" s="362"/>
      <c r="C40" s="631"/>
      <c r="D40" s="631"/>
      <c r="E40" s="363"/>
      <c r="F40" s="370"/>
      <c r="G40" s="363"/>
      <c r="H40" s="461"/>
      <c r="I40" s="461"/>
      <c r="J40" s="378"/>
    </row>
    <row r="41" spans="2:13" ht="15.75" x14ac:dyDescent="0.25">
      <c r="B41" s="362"/>
      <c r="C41" s="627" t="s">
        <v>168</v>
      </c>
      <c r="D41" s="627"/>
      <c r="E41" s="458"/>
      <c r="F41" s="370"/>
      <c r="G41" s="379"/>
      <c r="H41" s="627" t="s">
        <v>166</v>
      </c>
      <c r="I41" s="627"/>
      <c r="J41" s="378"/>
    </row>
    <row r="42" spans="2:13" ht="15.75" x14ac:dyDescent="0.25">
      <c r="B42" s="362"/>
      <c r="C42" s="582" t="s">
        <v>172</v>
      </c>
      <c r="D42" s="582"/>
      <c r="E42" s="458"/>
      <c r="F42" s="370"/>
      <c r="G42" s="458"/>
      <c r="H42" s="582" t="s">
        <v>167</v>
      </c>
      <c r="I42" s="582"/>
      <c r="J42" s="378"/>
    </row>
    <row r="43" spans="2:13" ht="15.75" x14ac:dyDescent="0.25">
      <c r="B43" s="380"/>
      <c r="C43" s="370"/>
      <c r="D43" s="370"/>
      <c r="E43" s="370"/>
      <c r="F43" s="370"/>
      <c r="G43" s="370"/>
      <c r="H43" s="370"/>
      <c r="I43" s="370"/>
      <c r="J43" s="378"/>
    </row>
    <row r="44" spans="2:13" ht="15.75" x14ac:dyDescent="0.25">
      <c r="B44" s="380"/>
      <c r="C44" s="370"/>
      <c r="D44" s="370"/>
      <c r="E44" s="370"/>
      <c r="F44" s="370"/>
      <c r="G44" s="370"/>
      <c r="H44" s="370"/>
      <c r="I44" s="370"/>
      <c r="J44" s="378"/>
    </row>
    <row r="45" spans="2:13" ht="15.75" x14ac:dyDescent="0.25">
      <c r="B45" s="380"/>
      <c r="C45" s="370"/>
      <c r="D45" s="370"/>
      <c r="E45" s="370"/>
      <c r="F45" s="370"/>
      <c r="G45" s="370"/>
      <c r="H45" s="370"/>
      <c r="I45" s="370"/>
      <c r="J45" s="378"/>
    </row>
    <row r="46" spans="2:13" ht="16.5" thickBot="1" x14ac:dyDescent="0.3">
      <c r="B46" s="381"/>
      <c r="C46" s="382"/>
      <c r="D46" s="382"/>
      <c r="E46" s="382"/>
      <c r="F46" s="382"/>
      <c r="G46" s="382"/>
      <c r="H46" s="382"/>
      <c r="I46" s="382"/>
      <c r="J46" s="383"/>
    </row>
  </sheetData>
  <mergeCells count="33">
    <mergeCell ref="C41:D41"/>
    <mergeCell ref="H41:I41"/>
    <mergeCell ref="C42:D42"/>
    <mergeCell ref="H42:I42"/>
    <mergeCell ref="B9:J9"/>
    <mergeCell ref="B29:G29"/>
    <mergeCell ref="G31:I31"/>
    <mergeCell ref="C40:D40"/>
    <mergeCell ref="B25:B27"/>
    <mergeCell ref="I25:I27"/>
    <mergeCell ref="B22:B23"/>
    <mergeCell ref="B28:J28"/>
    <mergeCell ref="B18:B19"/>
    <mergeCell ref="B20:B21"/>
    <mergeCell ref="J25:J27"/>
    <mergeCell ref="I18:I24"/>
    <mergeCell ref="B3:J3"/>
    <mergeCell ref="B5:J5"/>
    <mergeCell ref="B7:J7"/>
    <mergeCell ref="B11:J11"/>
    <mergeCell ref="I15:I17"/>
    <mergeCell ref="J15:J17"/>
    <mergeCell ref="B13:B14"/>
    <mergeCell ref="I13:I14"/>
    <mergeCell ref="J13:J14"/>
    <mergeCell ref="J18:J24"/>
    <mergeCell ref="I29:J29"/>
    <mergeCell ref="C25:C27"/>
    <mergeCell ref="D25:D27"/>
    <mergeCell ref="E25:E27"/>
    <mergeCell ref="F25:F27"/>
    <mergeCell ref="G25:G27"/>
    <mergeCell ref="H25:H27"/>
  </mergeCells>
  <hyperlinks>
    <hyperlink ref="B268" location="AbaRemun" display="3.1.2. Remuneração do Capital"/>
    <hyperlink ref="B252" location="AbaDeprec" display="3.1.1. Depreciação"/>
    <hyperlink ref="B339" location="AbaRemun" display="3.1.2. Remuneração do Capital"/>
    <hyperlink ref="B323" location="AbaDeprec" display="3.1.1. Depreciação"/>
  </hyperlinks>
  <pageMargins left="0.31496062992125984" right="0.31496062992125984" top="0.78740157480314965" bottom="0.78740157480314965" header="0.31496062992125984" footer="0.31496062992125984"/>
  <pageSetup paperSize="9" scale="63" orientation="portrait" verticalDpi="0" r:id="rId1"/>
  <colBreaks count="1" manualBreakCount="1">
    <brk id="1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40"/>
  <sheetViews>
    <sheetView view="pageBreakPreview" zoomScale="60" zoomScaleNormal="70" workbookViewId="0">
      <selection activeCell="B8" sqref="B8:D8"/>
    </sheetView>
  </sheetViews>
  <sheetFormatPr defaultColWidth="9.140625" defaultRowHeight="12.75" x14ac:dyDescent="0.2"/>
  <cols>
    <col min="1" max="1" width="9.140625" style="163"/>
    <col min="2" max="2" width="58.28515625" style="163" customWidth="1"/>
    <col min="3" max="3" width="30.42578125" style="163" bestFit="1" customWidth="1"/>
    <col min="4" max="4" width="12.140625" style="163" customWidth="1"/>
    <col min="5" max="16384" width="9.140625" style="163"/>
  </cols>
  <sheetData>
    <row r="1" spans="2:10" x14ac:dyDescent="0.2">
      <c r="B1" s="249"/>
      <c r="C1" s="250"/>
      <c r="D1" s="251"/>
    </row>
    <row r="2" spans="2:10" ht="18" x14ac:dyDescent="0.2">
      <c r="B2" s="546" t="s">
        <v>156</v>
      </c>
      <c r="C2" s="547"/>
      <c r="D2" s="548"/>
      <c r="E2" s="14"/>
      <c r="F2" s="14"/>
      <c r="G2" s="14"/>
    </row>
    <row r="3" spans="2:10" ht="18" x14ac:dyDescent="0.2">
      <c r="B3" s="450"/>
      <c r="C3" s="451"/>
      <c r="D3" s="452"/>
      <c r="E3" s="14"/>
      <c r="F3" s="14"/>
      <c r="G3" s="14"/>
    </row>
    <row r="4" spans="2:10" ht="18" x14ac:dyDescent="0.2">
      <c r="B4" s="546" t="s">
        <v>155</v>
      </c>
      <c r="C4" s="547"/>
      <c r="D4" s="548"/>
      <c r="E4" s="14"/>
      <c r="F4" s="14"/>
      <c r="G4" s="14"/>
      <c r="J4" s="20" t="s">
        <v>358</v>
      </c>
    </row>
    <row r="5" spans="2:10" ht="15" x14ac:dyDescent="0.2">
      <c r="B5" s="16"/>
      <c r="C5" s="20"/>
      <c r="D5" s="23"/>
      <c r="E5" s="26"/>
      <c r="F5" s="26"/>
      <c r="G5" s="26"/>
      <c r="J5" s="20" t="s">
        <v>359</v>
      </c>
    </row>
    <row r="6" spans="2:10" ht="18" x14ac:dyDescent="0.2">
      <c r="B6" s="549" t="s">
        <v>531</v>
      </c>
      <c r="C6" s="550"/>
      <c r="D6" s="551"/>
      <c r="E6" s="252"/>
      <c r="F6" s="252"/>
      <c r="G6" s="252"/>
      <c r="J6" s="15" t="s">
        <v>360</v>
      </c>
    </row>
    <row r="7" spans="2:10" ht="15" x14ac:dyDescent="0.2">
      <c r="B7" s="16"/>
      <c r="C7" s="26"/>
      <c r="D7" s="27"/>
      <c r="E7" s="26"/>
      <c r="F7" s="26"/>
      <c r="G7" s="26"/>
    </row>
    <row r="8" spans="2:10" ht="18" x14ac:dyDescent="0.2">
      <c r="B8" s="549" t="s">
        <v>534</v>
      </c>
      <c r="C8" s="550"/>
      <c r="D8" s="551"/>
      <c r="E8" s="26"/>
      <c r="F8" s="26"/>
      <c r="G8" s="26"/>
    </row>
    <row r="9" spans="2:10" ht="15.75" thickBot="1" x14ac:dyDescent="0.25">
      <c r="B9" s="16"/>
      <c r="C9" s="26"/>
      <c r="D9" s="27"/>
      <c r="E9" s="253"/>
      <c r="F9" s="253"/>
      <c r="G9" s="253"/>
    </row>
    <row r="10" spans="2:10" s="254" customFormat="1" ht="15.75" x14ac:dyDescent="0.25">
      <c r="B10" s="387"/>
      <c r="C10" s="388"/>
      <c r="D10" s="389"/>
    </row>
    <row r="11" spans="2:10" s="255" customFormat="1" ht="15.75" x14ac:dyDescent="0.25">
      <c r="B11" s="390" t="s">
        <v>361</v>
      </c>
      <c r="C11" s="391" t="s">
        <v>362</v>
      </c>
      <c r="D11" s="392" t="s">
        <v>363</v>
      </c>
    </row>
    <row r="12" spans="2:10" ht="20.100000000000001" customHeight="1" x14ac:dyDescent="0.2">
      <c r="B12" s="393" t="s">
        <v>364</v>
      </c>
      <c r="C12" s="394" t="s">
        <v>365</v>
      </c>
      <c r="D12" s="483">
        <v>24403</v>
      </c>
    </row>
    <row r="13" spans="2:10" ht="20.100000000000001" customHeight="1" x14ac:dyDescent="0.2">
      <c r="B13" s="395" t="s">
        <v>366</v>
      </c>
      <c r="C13" s="396" t="s">
        <v>367</v>
      </c>
      <c r="D13" s="397">
        <v>0.41</v>
      </c>
    </row>
    <row r="14" spans="2:10" ht="20.100000000000001" customHeight="1" x14ac:dyDescent="0.2">
      <c r="B14" s="395" t="s">
        <v>368</v>
      </c>
      <c r="C14" s="396" t="s">
        <v>369</v>
      </c>
      <c r="D14" s="484">
        <f>D12*D13/1000</f>
        <v>10.005229999999999</v>
      </c>
    </row>
    <row r="15" spans="2:10" ht="20.100000000000001" customHeight="1" x14ac:dyDescent="0.2">
      <c r="B15" s="395" t="s">
        <v>370</v>
      </c>
      <c r="C15" s="396" t="s">
        <v>371</v>
      </c>
      <c r="D15" s="485">
        <f>(D14*30)</f>
        <v>300.15689999999995</v>
      </c>
    </row>
    <row r="16" spans="2:10" ht="20.100000000000001" customHeight="1" x14ac:dyDescent="0.2">
      <c r="B16" s="395" t="s">
        <v>372</v>
      </c>
      <c r="C16" s="396" t="s">
        <v>142</v>
      </c>
      <c r="D16" s="486">
        <v>6</v>
      </c>
    </row>
    <row r="17" spans="2:5" ht="20.100000000000001" customHeight="1" x14ac:dyDescent="0.2">
      <c r="B17" s="395" t="s">
        <v>373</v>
      </c>
      <c r="C17" s="396" t="s">
        <v>369</v>
      </c>
      <c r="D17" s="484">
        <f>IFERROR(D14*7/D16,0)</f>
        <v>11.672768333333332</v>
      </c>
    </row>
    <row r="18" spans="2:5" ht="20.100000000000001" customHeight="1" x14ac:dyDescent="0.2">
      <c r="B18" s="393" t="s">
        <v>374</v>
      </c>
      <c r="C18" s="396" t="s">
        <v>375</v>
      </c>
      <c r="D18" s="487">
        <v>500</v>
      </c>
    </row>
    <row r="19" spans="2:5" ht="20.100000000000001" customHeight="1" x14ac:dyDescent="0.2">
      <c r="B19" s="395" t="s">
        <v>376</v>
      </c>
      <c r="C19" s="396"/>
      <c r="D19" s="488">
        <v>1</v>
      </c>
    </row>
    <row r="20" spans="2:5" ht="20.100000000000001" customHeight="1" x14ac:dyDescent="0.2">
      <c r="B20" s="393" t="s">
        <v>377</v>
      </c>
      <c r="C20" s="396" t="s">
        <v>378</v>
      </c>
      <c r="D20" s="488">
        <v>15</v>
      </c>
    </row>
    <row r="21" spans="2:5" ht="20.100000000000001" customHeight="1" x14ac:dyDescent="0.2">
      <c r="B21" s="395" t="s">
        <v>379</v>
      </c>
      <c r="C21" s="396" t="s">
        <v>371</v>
      </c>
      <c r="D21" s="487">
        <f>IF(AND(D20&gt;=15,D19=1),5.8,D20/2)</f>
        <v>5.8</v>
      </c>
    </row>
    <row r="22" spans="2:5" ht="20.100000000000001" customHeight="1" x14ac:dyDescent="0.2">
      <c r="B22" s="393" t="s">
        <v>380</v>
      </c>
      <c r="C22" s="396"/>
      <c r="D22" s="484">
        <f>IFERROR(D17/D21,0)</f>
        <v>2.012546264367816</v>
      </c>
    </row>
    <row r="23" spans="2:5" ht="30" x14ac:dyDescent="0.2">
      <c r="B23" s="482" t="s">
        <v>381</v>
      </c>
      <c r="C23" s="396"/>
      <c r="D23" s="489">
        <v>1</v>
      </c>
    </row>
    <row r="24" spans="2:5" ht="20.100000000000001" customHeight="1" thickBot="1" x14ac:dyDescent="0.25">
      <c r="B24" s="398" t="s">
        <v>382</v>
      </c>
      <c r="C24" s="399"/>
      <c r="D24" s="490">
        <f>IFERROR(D22/D23,0)</f>
        <v>2.012546264367816</v>
      </c>
    </row>
    <row r="25" spans="2:5" ht="15" x14ac:dyDescent="0.2">
      <c r="B25" s="9"/>
      <c r="C25" s="10"/>
      <c r="D25" s="11"/>
      <c r="E25" s="258"/>
    </row>
    <row r="26" spans="2:5" ht="15.75" x14ac:dyDescent="0.2">
      <c r="B26" s="664" t="s">
        <v>529</v>
      </c>
      <c r="C26" s="630"/>
      <c r="D26" s="665"/>
      <c r="E26" s="229"/>
    </row>
    <row r="27" spans="2:5" ht="15.75" x14ac:dyDescent="0.2">
      <c r="B27" s="238"/>
      <c r="C27" s="230"/>
      <c r="D27" s="491"/>
      <c r="E27" s="229"/>
    </row>
    <row r="28" spans="2:5" ht="15.75" x14ac:dyDescent="0.2">
      <c r="B28" s="238"/>
      <c r="C28" s="230"/>
      <c r="D28" s="491"/>
      <c r="E28" s="229"/>
    </row>
    <row r="29" spans="2:5" ht="15.75" x14ac:dyDescent="0.2">
      <c r="B29" s="238"/>
      <c r="C29" s="230"/>
      <c r="D29" s="491"/>
      <c r="E29" s="229"/>
    </row>
    <row r="30" spans="2:5" ht="15.75" x14ac:dyDescent="0.2">
      <c r="B30" s="238"/>
      <c r="C30" s="230"/>
      <c r="D30" s="491"/>
      <c r="E30" s="229"/>
    </row>
    <row r="31" spans="2:5" ht="15.75" x14ac:dyDescent="0.2">
      <c r="B31" s="238"/>
      <c r="C31" s="230"/>
      <c r="D31" s="491"/>
      <c r="E31" s="229"/>
    </row>
    <row r="32" spans="2:5" ht="15.75" x14ac:dyDescent="0.2">
      <c r="B32" s="238"/>
      <c r="C32" s="230"/>
      <c r="D32" s="491"/>
      <c r="E32" s="229"/>
    </row>
    <row r="33" spans="2:7" ht="15.75" x14ac:dyDescent="0.2">
      <c r="B33" s="238"/>
      <c r="C33" s="358"/>
      <c r="D33" s="357"/>
      <c r="E33" s="479"/>
    </row>
    <row r="34" spans="2:7" ht="15.75" x14ac:dyDescent="0.2">
      <c r="B34" s="359"/>
      <c r="C34" s="360"/>
      <c r="D34" s="361"/>
      <c r="E34" s="239"/>
      <c r="F34" s="22"/>
      <c r="G34" s="22"/>
    </row>
    <row r="35" spans="2:7" ht="15" x14ac:dyDescent="0.2">
      <c r="B35" s="362" t="s">
        <v>505</v>
      </c>
      <c r="C35" s="650"/>
      <c r="D35" s="651"/>
      <c r="E35" s="16"/>
      <c r="F35" s="15"/>
      <c r="G35" s="15"/>
    </row>
    <row r="36" spans="2:7" ht="15" x14ac:dyDescent="0.2">
      <c r="B36" s="464" t="s">
        <v>168</v>
      </c>
      <c r="C36" s="581" t="s">
        <v>166</v>
      </c>
      <c r="D36" s="648"/>
      <c r="E36" s="16"/>
      <c r="F36" s="17"/>
      <c r="G36" s="15"/>
    </row>
    <row r="37" spans="2:7" ht="15" x14ac:dyDescent="0.2">
      <c r="B37" s="465" t="s">
        <v>172</v>
      </c>
      <c r="C37" s="582" t="s">
        <v>167</v>
      </c>
      <c r="D37" s="649"/>
      <c r="E37" s="187"/>
      <c r="F37" s="187"/>
      <c r="G37" s="187"/>
    </row>
    <row r="38" spans="2:7" ht="15" x14ac:dyDescent="0.2">
      <c r="B38" s="9"/>
      <c r="C38" s="457"/>
      <c r="D38" s="373"/>
      <c r="G38" s="248"/>
    </row>
    <row r="39" spans="2:7" ht="15" x14ac:dyDescent="0.2">
      <c r="B39" s="9"/>
      <c r="C39" s="458"/>
      <c r="D39" s="373"/>
      <c r="G39" s="261"/>
    </row>
    <row r="40" spans="2:7" ht="15.75" thickBot="1" x14ac:dyDescent="0.25">
      <c r="B40" s="374"/>
      <c r="C40" s="365"/>
      <c r="D40" s="366"/>
    </row>
  </sheetData>
  <mergeCells count="8">
    <mergeCell ref="B2:D2"/>
    <mergeCell ref="B4:D4"/>
    <mergeCell ref="B6:D6"/>
    <mergeCell ref="C36:D36"/>
    <mergeCell ref="C37:D37"/>
    <mergeCell ref="B8:D8"/>
    <mergeCell ref="C35:D35"/>
    <mergeCell ref="B26:D26"/>
  </mergeCells>
  <hyperlinks>
    <hyperlink ref="B272" location="AbaRemun" display="3.1.2. Remuneração do Capital"/>
    <hyperlink ref="B256" location="AbaDeprec" display="3.1.1. Depreciação"/>
    <hyperlink ref="B343" location="AbaRemun" display="3.1.2. Remuneração do Capital"/>
    <hyperlink ref="B327" location="AbaDeprec" display="3.1.1. Depreciação"/>
  </hyperlinks>
  <pageMargins left="0.9055118110236221" right="0.51181102362204722" top="1.1811023622047245" bottom="0.78740157480314965" header="0.31496062992125984" footer="0.31496062992125984"/>
  <pageSetup paperSize="9" scale="83" orientation="portrait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7" hidden="1" customWidth="1"/>
    <col min="2" max="2" width="7.140625" style="7" hidden="1" customWidth="1"/>
    <col min="3" max="3" width="69.5703125" style="7" hidden="1" customWidth="1"/>
    <col min="4" max="5" width="7" style="7" hidden="1" customWidth="1"/>
    <col min="6" max="6" width="29" style="7" bestFit="1" customWidth="1"/>
    <col min="7" max="7" width="13.5703125" style="7" bestFit="1" customWidth="1"/>
    <col min="8" max="8" width="78.85546875" style="7" bestFit="1" customWidth="1"/>
    <col min="9" max="16384" width="9.140625" style="7"/>
  </cols>
  <sheetData>
    <row r="1" spans="1:8" ht="15.75" thickBot="1" x14ac:dyDescent="0.3">
      <c r="A1" s="5" t="s">
        <v>132</v>
      </c>
      <c r="B1" s="2" t="s">
        <v>147</v>
      </c>
      <c r="C1" s="2" t="s">
        <v>134</v>
      </c>
      <c r="D1" s="2" t="s">
        <v>148</v>
      </c>
      <c r="E1" s="2" t="s">
        <v>149</v>
      </c>
      <c r="F1" s="5" t="s">
        <v>132</v>
      </c>
      <c r="G1" s="2" t="s">
        <v>151</v>
      </c>
      <c r="H1" s="2" t="s">
        <v>134</v>
      </c>
    </row>
    <row r="2" spans="1:8" ht="15.75" thickBot="1" x14ac:dyDescent="0.3">
      <c r="A2" s="4" t="s">
        <v>137</v>
      </c>
      <c r="B2" s="6">
        <v>2</v>
      </c>
      <c r="C2" s="6" t="s">
        <v>46</v>
      </c>
      <c r="D2" s="7">
        <v>1</v>
      </c>
      <c r="E2" s="7" t="e">
        <f>IF(A2=$F$2,B2,"")</f>
        <v>#REF!</v>
      </c>
      <c r="F2" s="7" t="e">
        <f>IF(#REF!=0,"",#REF!)</f>
        <v>#REF!</v>
      </c>
      <c r="G2" s="7" t="str">
        <f>IFERROR(SMALL($E$2:$E$250,D2),"")</f>
        <v/>
      </c>
      <c r="H2" s="7" t="str">
        <f>IFERROR(VLOOKUP(G2,#REF!,2,FALSE),"")</f>
        <v/>
      </c>
    </row>
    <row r="3" spans="1:8" ht="15.75" thickBot="1" x14ac:dyDescent="0.3">
      <c r="A3" s="4" t="s">
        <v>138</v>
      </c>
      <c r="B3" s="6">
        <v>2</v>
      </c>
      <c r="C3" s="6" t="s">
        <v>46</v>
      </c>
      <c r="D3" s="7">
        <v>2</v>
      </c>
      <c r="E3" s="7" t="e">
        <f t="shared" ref="E3:E66" si="0">IF(A3=$F$2,B3,"")</f>
        <v>#REF!</v>
      </c>
      <c r="G3" s="7" t="str">
        <f t="shared" ref="G3:G66" si="1">IFERROR(SMALL($E$2:$E$250,D3),"")</f>
        <v/>
      </c>
      <c r="H3" s="7" t="str">
        <f>IFERROR(VLOOKUP(G3,#REF!,2,FALSE),"")</f>
        <v/>
      </c>
    </row>
    <row r="4" spans="1:8" ht="15.75" thickBot="1" x14ac:dyDescent="0.3">
      <c r="A4" s="4" t="s">
        <v>138</v>
      </c>
      <c r="B4" s="6">
        <v>3</v>
      </c>
      <c r="C4" s="6" t="s">
        <v>123</v>
      </c>
      <c r="D4" s="7">
        <v>3</v>
      </c>
      <c r="E4" s="7" t="e">
        <f t="shared" si="0"/>
        <v>#REF!</v>
      </c>
      <c r="G4" s="7" t="str">
        <f t="shared" si="1"/>
        <v/>
      </c>
      <c r="H4" s="7" t="str">
        <f>IFERROR(VLOOKUP(G4,#REF!,2,FALSE),"")</f>
        <v/>
      </c>
    </row>
    <row r="5" spans="1:8" ht="15.75" thickBot="1" x14ac:dyDescent="0.3">
      <c r="A5" s="4" t="s">
        <v>136</v>
      </c>
      <c r="B5" s="6">
        <v>3</v>
      </c>
      <c r="C5" s="6" t="s">
        <v>123</v>
      </c>
      <c r="D5" s="7">
        <v>4</v>
      </c>
      <c r="E5" s="7" t="e">
        <f t="shared" si="0"/>
        <v>#REF!</v>
      </c>
      <c r="G5" s="7" t="str">
        <f t="shared" si="1"/>
        <v/>
      </c>
      <c r="H5" s="7" t="str">
        <f>IFERROR(VLOOKUP(G5,#REF!,2,FALSE),"")</f>
        <v/>
      </c>
    </row>
    <row r="6" spans="1:8" ht="23.25" thickBot="1" x14ac:dyDescent="0.3">
      <c r="A6" s="4" t="s">
        <v>133</v>
      </c>
      <c r="B6" s="6">
        <v>7</v>
      </c>
      <c r="C6" s="6" t="s">
        <v>104</v>
      </c>
      <c r="D6" s="7">
        <v>5</v>
      </c>
      <c r="E6" s="7" t="e">
        <f t="shared" si="0"/>
        <v>#REF!</v>
      </c>
      <c r="G6" s="7" t="str">
        <f t="shared" si="1"/>
        <v/>
      </c>
      <c r="H6" s="7" t="str">
        <f>IFERROR(VLOOKUP(G6,#REF!,2,FALSE),"")</f>
        <v/>
      </c>
    </row>
    <row r="7" spans="1:8" ht="23.25" thickBot="1" x14ac:dyDescent="0.3">
      <c r="A7" s="4" t="s">
        <v>133</v>
      </c>
      <c r="B7" s="6">
        <v>8</v>
      </c>
      <c r="C7" s="6" t="s">
        <v>99</v>
      </c>
      <c r="D7" s="7">
        <v>6</v>
      </c>
      <c r="E7" s="7" t="e">
        <f t="shared" si="0"/>
        <v>#REF!</v>
      </c>
      <c r="G7" s="7" t="str">
        <f t="shared" si="1"/>
        <v/>
      </c>
      <c r="H7" s="7" t="str">
        <f>IFERROR(VLOOKUP(G7,#REF!,2,FALSE),"")</f>
        <v/>
      </c>
    </row>
    <row r="8" spans="1:8" ht="23.25" thickBot="1" x14ac:dyDescent="0.3">
      <c r="A8" s="4" t="s">
        <v>133</v>
      </c>
      <c r="B8" s="6">
        <v>9</v>
      </c>
      <c r="C8" s="6" t="s">
        <v>105</v>
      </c>
      <c r="D8" s="7">
        <v>7</v>
      </c>
      <c r="E8" s="7" t="e">
        <f t="shared" si="0"/>
        <v>#REF!</v>
      </c>
      <c r="G8" s="7" t="str">
        <f t="shared" si="1"/>
        <v/>
      </c>
      <c r="H8" s="7" t="str">
        <f>IFERROR(VLOOKUP(G8,#REF!,2,FALSE),"")</f>
        <v/>
      </c>
    </row>
    <row r="9" spans="1:8" ht="23.25" thickBot="1" x14ac:dyDescent="0.3">
      <c r="A9" s="4" t="s">
        <v>133</v>
      </c>
      <c r="B9" s="6">
        <v>10</v>
      </c>
      <c r="C9" s="6" t="s">
        <v>103</v>
      </c>
      <c r="D9" s="7">
        <v>8</v>
      </c>
      <c r="E9" s="7" t="e">
        <f t="shared" si="0"/>
        <v>#REF!</v>
      </c>
      <c r="G9" s="7" t="str">
        <f t="shared" si="1"/>
        <v/>
      </c>
      <c r="H9" s="7" t="str">
        <f>IFERROR(VLOOKUP(G9,#REF!,2,FALSE),"")</f>
        <v/>
      </c>
    </row>
    <row r="10" spans="1:8" ht="23.25" thickBot="1" x14ac:dyDescent="0.3">
      <c r="A10" s="4" t="s">
        <v>133</v>
      </c>
      <c r="B10" s="6">
        <v>11</v>
      </c>
      <c r="C10" s="6" t="s">
        <v>109</v>
      </c>
      <c r="D10" s="7">
        <v>9</v>
      </c>
      <c r="E10" s="7" t="e">
        <f t="shared" si="0"/>
        <v>#REF!</v>
      </c>
      <c r="G10" s="7" t="str">
        <f t="shared" si="1"/>
        <v/>
      </c>
      <c r="H10" s="7" t="str">
        <f>IFERROR(VLOOKUP(G10,#REF!,2,FALSE),"")</f>
        <v/>
      </c>
    </row>
    <row r="11" spans="1:8" ht="23.25" thickBot="1" x14ac:dyDescent="0.3">
      <c r="A11" s="4" t="s">
        <v>133</v>
      </c>
      <c r="B11" s="6">
        <v>12</v>
      </c>
      <c r="C11" s="6" t="s">
        <v>100</v>
      </c>
      <c r="D11" s="7">
        <v>10</v>
      </c>
      <c r="E11" s="7" t="e">
        <f t="shared" si="0"/>
        <v>#REF!</v>
      </c>
      <c r="G11" s="7" t="str">
        <f t="shared" si="1"/>
        <v/>
      </c>
      <c r="H11" s="7" t="str">
        <f>IFERROR(VLOOKUP(G11,#REF!,2,FALSE),"")</f>
        <v/>
      </c>
    </row>
    <row r="12" spans="1:8" ht="23.25" thickBot="1" x14ac:dyDescent="0.3">
      <c r="A12" s="4" t="s">
        <v>133</v>
      </c>
      <c r="B12" s="6">
        <v>13</v>
      </c>
      <c r="C12" s="6" t="s">
        <v>106</v>
      </c>
      <c r="D12" s="7">
        <v>11</v>
      </c>
      <c r="E12" s="7" t="e">
        <f t="shared" si="0"/>
        <v>#REF!</v>
      </c>
      <c r="G12" s="7" t="str">
        <f t="shared" si="1"/>
        <v/>
      </c>
      <c r="H12" s="7" t="str">
        <f>IFERROR(VLOOKUP(G12,#REF!,2,FALSE),"")</f>
        <v/>
      </c>
    </row>
    <row r="13" spans="1:8" ht="23.25" thickBot="1" x14ac:dyDescent="0.3">
      <c r="A13" s="4" t="s">
        <v>133</v>
      </c>
      <c r="B13" s="6">
        <v>14</v>
      </c>
      <c r="C13" s="6" t="s">
        <v>102</v>
      </c>
      <c r="D13" s="7">
        <v>12</v>
      </c>
      <c r="E13" s="7" t="e">
        <f t="shared" si="0"/>
        <v>#REF!</v>
      </c>
      <c r="G13" s="7" t="str">
        <f t="shared" si="1"/>
        <v/>
      </c>
      <c r="H13" s="7" t="str">
        <f>IFERROR(VLOOKUP(G13,#REF!,2,FALSE),"")</f>
        <v/>
      </c>
    </row>
    <row r="14" spans="1:8" ht="23.25" thickBot="1" x14ac:dyDescent="0.3">
      <c r="A14" s="4" t="s">
        <v>133</v>
      </c>
      <c r="B14" s="6">
        <v>15</v>
      </c>
      <c r="C14" s="6" t="s">
        <v>107</v>
      </c>
      <c r="D14" s="7">
        <v>13</v>
      </c>
      <c r="E14" s="7" t="e">
        <f t="shared" si="0"/>
        <v>#REF!</v>
      </c>
      <c r="G14" s="7" t="str">
        <f t="shared" si="1"/>
        <v/>
      </c>
      <c r="H14" s="7" t="str">
        <f>IFERROR(VLOOKUP(G14,#REF!,2,FALSE),"")</f>
        <v/>
      </c>
    </row>
    <row r="15" spans="1:8" ht="23.25" thickBot="1" x14ac:dyDescent="0.3">
      <c r="A15" s="4" t="s">
        <v>133</v>
      </c>
      <c r="B15" s="6">
        <v>16</v>
      </c>
      <c r="C15" s="6" t="s">
        <v>101</v>
      </c>
      <c r="D15" s="7">
        <v>14</v>
      </c>
      <c r="E15" s="7" t="e">
        <f t="shared" si="0"/>
        <v>#REF!</v>
      </c>
      <c r="G15" s="7" t="str">
        <f t="shared" si="1"/>
        <v/>
      </c>
      <c r="H15" s="7" t="str">
        <f>IFERROR(VLOOKUP(G15,#REF!,2,FALSE),"")</f>
        <v/>
      </c>
    </row>
    <row r="16" spans="1:8" ht="23.25" thickBot="1" x14ac:dyDescent="0.3">
      <c r="A16" s="4" t="s">
        <v>133</v>
      </c>
      <c r="B16" s="6">
        <v>17</v>
      </c>
      <c r="C16" s="6" t="s">
        <v>108</v>
      </c>
      <c r="D16" s="7">
        <v>15</v>
      </c>
      <c r="E16" s="7" t="e">
        <f t="shared" si="0"/>
        <v>#REF!</v>
      </c>
      <c r="G16" s="7" t="str">
        <f t="shared" si="1"/>
        <v/>
      </c>
      <c r="H16" s="7" t="str">
        <f>IFERROR(VLOOKUP(G16,#REF!,2,FALSE),"")</f>
        <v/>
      </c>
    </row>
    <row r="17" spans="1:8" ht="15.75" thickBot="1" x14ac:dyDescent="0.3">
      <c r="A17" s="4" t="s">
        <v>136</v>
      </c>
      <c r="B17" s="6">
        <v>29</v>
      </c>
      <c r="C17" s="6" t="s">
        <v>97</v>
      </c>
      <c r="D17" s="7">
        <v>16</v>
      </c>
      <c r="E17" s="7" t="e">
        <f t="shared" si="0"/>
        <v>#REF!</v>
      </c>
      <c r="G17" s="7" t="str">
        <f t="shared" si="1"/>
        <v/>
      </c>
      <c r="H17" s="7" t="str">
        <f>IFERROR(VLOOKUP(G17,#REF!,2,FALSE),"")</f>
        <v/>
      </c>
    </row>
    <row r="18" spans="1:8" ht="15.75" thickBot="1" x14ac:dyDescent="0.3">
      <c r="A18" s="4" t="s">
        <v>136</v>
      </c>
      <c r="B18" s="6">
        <v>30</v>
      </c>
      <c r="C18" s="6" t="s">
        <v>98</v>
      </c>
      <c r="D18" s="7">
        <v>17</v>
      </c>
      <c r="E18" s="7" t="e">
        <f t="shared" si="0"/>
        <v>#REF!</v>
      </c>
      <c r="G18" s="7" t="str">
        <f t="shared" si="1"/>
        <v/>
      </c>
      <c r="H18" s="7" t="str">
        <f>IFERROR(VLOOKUP(G18,#REF!,2,FALSE),"")</f>
        <v/>
      </c>
    </row>
    <row r="19" spans="1:8" ht="15.75" thickBot="1" x14ac:dyDescent="0.3">
      <c r="A19" s="4" t="s">
        <v>138</v>
      </c>
      <c r="B19" s="6">
        <v>31</v>
      </c>
      <c r="C19" s="6" t="s">
        <v>125</v>
      </c>
      <c r="D19" s="7">
        <v>18</v>
      </c>
      <c r="E19" s="7" t="e">
        <f t="shared" si="0"/>
        <v>#REF!</v>
      </c>
      <c r="G19" s="7" t="str">
        <f t="shared" si="1"/>
        <v/>
      </c>
      <c r="H19" s="7" t="str">
        <f>IFERROR(VLOOKUP(G19,#REF!,2,FALSE),"")</f>
        <v/>
      </c>
    </row>
    <row r="20" spans="1:8" ht="15.75" thickBot="1" x14ac:dyDescent="0.3">
      <c r="A20" s="4" t="s">
        <v>136</v>
      </c>
      <c r="B20" s="6">
        <v>31</v>
      </c>
      <c r="C20" s="6" t="s">
        <v>125</v>
      </c>
      <c r="D20" s="7">
        <v>19</v>
      </c>
      <c r="E20" s="7" t="e">
        <f t="shared" si="0"/>
        <v>#REF!</v>
      </c>
      <c r="G20" s="7" t="str">
        <f t="shared" si="1"/>
        <v/>
      </c>
      <c r="H20" s="7" t="str">
        <f>IFERROR(VLOOKUP(G20,#REF!,2,FALSE),"")</f>
        <v/>
      </c>
    </row>
    <row r="21" spans="1:8" ht="15.75" thickBot="1" x14ac:dyDescent="0.3">
      <c r="A21" s="4" t="s">
        <v>137</v>
      </c>
      <c r="B21" s="6">
        <v>33</v>
      </c>
      <c r="C21" s="6" t="s">
        <v>75</v>
      </c>
      <c r="D21" s="7">
        <v>20</v>
      </c>
      <c r="E21" s="7" t="e">
        <f t="shared" si="0"/>
        <v>#REF!</v>
      </c>
      <c r="G21" s="7" t="str">
        <f t="shared" si="1"/>
        <v/>
      </c>
      <c r="H21" s="7" t="str">
        <f>IFERROR(VLOOKUP(G21,#REF!,2,FALSE),"")</f>
        <v/>
      </c>
    </row>
    <row r="22" spans="1:8" ht="15.75" thickBot="1" x14ac:dyDescent="0.3">
      <c r="A22" s="4" t="s">
        <v>137</v>
      </c>
      <c r="B22" s="6">
        <v>34</v>
      </c>
      <c r="C22" s="6" t="s">
        <v>77</v>
      </c>
      <c r="D22" s="7">
        <v>21</v>
      </c>
      <c r="E22" s="7" t="e">
        <f t="shared" si="0"/>
        <v>#REF!</v>
      </c>
      <c r="G22" s="7" t="str">
        <f t="shared" si="1"/>
        <v/>
      </c>
      <c r="H22" s="7" t="str">
        <f>IFERROR(VLOOKUP(G22,#REF!,2,FALSE),"")</f>
        <v/>
      </c>
    </row>
    <row r="23" spans="1:8" ht="15.75" thickBot="1" x14ac:dyDescent="0.3">
      <c r="A23" s="4" t="s">
        <v>138</v>
      </c>
      <c r="B23" s="6">
        <v>34</v>
      </c>
      <c r="C23" s="6" t="s">
        <v>77</v>
      </c>
      <c r="D23" s="7">
        <v>22</v>
      </c>
      <c r="E23" s="7" t="e">
        <f t="shared" si="0"/>
        <v>#REF!</v>
      </c>
      <c r="G23" s="7" t="str">
        <f t="shared" si="1"/>
        <v/>
      </c>
      <c r="H23" s="7" t="str">
        <f>IFERROR(VLOOKUP(G23,#REF!,2,FALSE),"")</f>
        <v/>
      </c>
    </row>
    <row r="24" spans="1:8" ht="15.75" thickBot="1" x14ac:dyDescent="0.3">
      <c r="A24" s="4" t="s">
        <v>137</v>
      </c>
      <c r="B24" s="6">
        <v>35</v>
      </c>
      <c r="C24" s="6" t="s">
        <v>31</v>
      </c>
      <c r="D24" s="7">
        <v>23</v>
      </c>
      <c r="E24" s="7" t="e">
        <f t="shared" si="0"/>
        <v>#REF!</v>
      </c>
      <c r="G24" s="7" t="str">
        <f t="shared" si="1"/>
        <v/>
      </c>
      <c r="H24" s="7" t="str">
        <f>IFERROR(VLOOKUP(G24,#REF!,2,FALSE),"")</f>
        <v/>
      </c>
    </row>
    <row r="25" spans="1:8" ht="15.75" thickBot="1" x14ac:dyDescent="0.3">
      <c r="A25" s="4" t="s">
        <v>138</v>
      </c>
      <c r="B25" s="6">
        <v>35</v>
      </c>
      <c r="C25" s="6" t="s">
        <v>31</v>
      </c>
      <c r="D25" s="7">
        <v>24</v>
      </c>
      <c r="E25" s="7" t="e">
        <f t="shared" si="0"/>
        <v>#REF!</v>
      </c>
      <c r="G25" s="7" t="str">
        <f t="shared" si="1"/>
        <v/>
      </c>
      <c r="H25" s="7" t="str">
        <f>IFERROR(VLOOKUP(G25,#REF!,2,FALSE),"")</f>
        <v/>
      </c>
    </row>
    <row r="26" spans="1:8" ht="15.75" thickBot="1" x14ac:dyDescent="0.3">
      <c r="A26" s="4" t="s">
        <v>138</v>
      </c>
      <c r="B26" s="6">
        <v>37</v>
      </c>
      <c r="C26" s="6" t="s">
        <v>124</v>
      </c>
      <c r="D26" s="7">
        <v>25</v>
      </c>
      <c r="E26" s="7" t="e">
        <f t="shared" si="0"/>
        <v>#REF!</v>
      </c>
      <c r="G26" s="7" t="str">
        <f t="shared" si="1"/>
        <v/>
      </c>
      <c r="H26" s="7" t="str">
        <f>IFERROR(VLOOKUP(G26,#REF!,2,FALSE),"")</f>
        <v/>
      </c>
    </row>
    <row r="27" spans="1:8" ht="15.75" thickBot="1" x14ac:dyDescent="0.3">
      <c r="A27" s="4" t="s">
        <v>136</v>
      </c>
      <c r="B27" s="6">
        <v>37</v>
      </c>
      <c r="C27" s="6" t="s">
        <v>124</v>
      </c>
      <c r="D27" s="7">
        <v>26</v>
      </c>
      <c r="E27" s="7" t="e">
        <f t="shared" si="0"/>
        <v>#REF!</v>
      </c>
      <c r="G27" s="7" t="str">
        <f t="shared" si="1"/>
        <v/>
      </c>
      <c r="H27" s="7" t="str">
        <f>IFERROR(VLOOKUP(G27,#REF!,2,FALSE),"")</f>
        <v/>
      </c>
    </row>
    <row r="28" spans="1:8" ht="15.75" thickBot="1" x14ac:dyDescent="0.3">
      <c r="A28" s="4" t="s">
        <v>138</v>
      </c>
      <c r="B28" s="6">
        <v>42</v>
      </c>
      <c r="C28" s="6" t="s">
        <v>126</v>
      </c>
      <c r="D28" s="7">
        <v>27</v>
      </c>
      <c r="E28" s="7" t="e">
        <f t="shared" si="0"/>
        <v>#REF!</v>
      </c>
      <c r="G28" s="7" t="str">
        <f t="shared" si="1"/>
        <v/>
      </c>
      <c r="H28" s="7" t="str">
        <f>IFERROR(VLOOKUP(G28,#REF!,2,FALSE),"")</f>
        <v/>
      </c>
    </row>
    <row r="29" spans="1:8" ht="15.75" thickBot="1" x14ac:dyDescent="0.3">
      <c r="A29" s="4" t="s">
        <v>136</v>
      </c>
      <c r="B29" s="6">
        <v>42</v>
      </c>
      <c r="C29" s="6" t="s">
        <v>126</v>
      </c>
      <c r="D29" s="7">
        <v>28</v>
      </c>
      <c r="E29" s="7" t="e">
        <f t="shared" si="0"/>
        <v>#REF!</v>
      </c>
      <c r="G29" s="7" t="str">
        <f t="shared" si="1"/>
        <v/>
      </c>
      <c r="H29" s="7" t="str">
        <f>IFERROR(VLOOKUP(G29,#REF!,2,FALSE),"")</f>
        <v/>
      </c>
    </row>
    <row r="30" spans="1:8" ht="15.75" thickBot="1" x14ac:dyDescent="0.3">
      <c r="A30" s="4" t="s">
        <v>138</v>
      </c>
      <c r="B30" s="6">
        <v>45</v>
      </c>
      <c r="C30" s="6" t="s">
        <v>111</v>
      </c>
      <c r="D30" s="7">
        <v>29</v>
      </c>
      <c r="E30" s="7" t="e">
        <f t="shared" si="0"/>
        <v>#REF!</v>
      </c>
      <c r="G30" s="7" t="str">
        <f t="shared" si="1"/>
        <v/>
      </c>
      <c r="H30" s="7" t="str">
        <f>IFERROR(VLOOKUP(G30,#REF!,2,FALSE),"")</f>
        <v/>
      </c>
    </row>
    <row r="31" spans="1:8" ht="15.75" thickBot="1" x14ac:dyDescent="0.3">
      <c r="A31" s="4" t="s">
        <v>136</v>
      </c>
      <c r="B31" s="6">
        <v>45</v>
      </c>
      <c r="C31" s="6" t="s">
        <v>111</v>
      </c>
      <c r="D31" s="7">
        <v>30</v>
      </c>
      <c r="E31" s="7" t="e">
        <f t="shared" si="0"/>
        <v>#REF!</v>
      </c>
      <c r="G31" s="7" t="str">
        <f t="shared" si="1"/>
        <v/>
      </c>
      <c r="H31" s="7" t="str">
        <f>IFERROR(VLOOKUP(G31,#REF!,2,FALSE),"")</f>
        <v/>
      </c>
    </row>
    <row r="32" spans="1:8" ht="15.75" thickBot="1" x14ac:dyDescent="0.3">
      <c r="A32" s="4" t="s">
        <v>138</v>
      </c>
      <c r="B32" s="6">
        <v>47</v>
      </c>
      <c r="C32" s="6" t="s">
        <v>122</v>
      </c>
      <c r="D32" s="7">
        <v>31</v>
      </c>
      <c r="E32" s="7" t="e">
        <f t="shared" si="0"/>
        <v>#REF!</v>
      </c>
      <c r="G32" s="7" t="str">
        <f t="shared" si="1"/>
        <v/>
      </c>
      <c r="H32" s="7" t="str">
        <f>IFERROR(VLOOKUP(G32,#REF!,2,FALSE),"")</f>
        <v/>
      </c>
    </row>
    <row r="33" spans="1:8" ht="15.75" thickBot="1" x14ac:dyDescent="0.3">
      <c r="A33" s="4" t="s">
        <v>136</v>
      </c>
      <c r="B33" s="6">
        <v>47</v>
      </c>
      <c r="C33" s="6" t="s">
        <v>122</v>
      </c>
      <c r="D33" s="7">
        <v>32</v>
      </c>
      <c r="E33" s="7" t="e">
        <f t="shared" si="0"/>
        <v>#REF!</v>
      </c>
      <c r="G33" s="7" t="str">
        <f t="shared" si="1"/>
        <v/>
      </c>
      <c r="H33" s="7" t="str">
        <f>IFERROR(VLOOKUP(G33,#REF!,2,FALSE),"")</f>
        <v/>
      </c>
    </row>
    <row r="34" spans="1:8" ht="15.75" thickBot="1" x14ac:dyDescent="0.3">
      <c r="A34" s="4" t="s">
        <v>138</v>
      </c>
      <c r="B34" s="6">
        <v>52</v>
      </c>
      <c r="C34" s="6" t="s">
        <v>117</v>
      </c>
      <c r="D34" s="7">
        <v>33</v>
      </c>
      <c r="E34" s="7" t="e">
        <f t="shared" si="0"/>
        <v>#REF!</v>
      </c>
      <c r="G34" s="7" t="str">
        <f t="shared" si="1"/>
        <v/>
      </c>
      <c r="H34" s="7" t="str">
        <f>IFERROR(VLOOKUP(G34,#REF!,2,FALSE),"")</f>
        <v/>
      </c>
    </row>
    <row r="35" spans="1:8" ht="15.75" thickBot="1" x14ac:dyDescent="0.3">
      <c r="A35" s="4" t="s">
        <v>136</v>
      </c>
      <c r="B35" s="6">
        <v>52</v>
      </c>
      <c r="C35" s="6" t="s">
        <v>117</v>
      </c>
      <c r="D35" s="7">
        <v>34</v>
      </c>
      <c r="E35" s="7" t="e">
        <f t="shared" si="0"/>
        <v>#REF!</v>
      </c>
      <c r="G35" s="7" t="str">
        <f t="shared" si="1"/>
        <v/>
      </c>
      <c r="H35" s="7" t="str">
        <f>IFERROR(VLOOKUP(G35,#REF!,2,FALSE),"")</f>
        <v/>
      </c>
    </row>
    <row r="36" spans="1:8" ht="15.75" thickBot="1" x14ac:dyDescent="0.3">
      <c r="A36" s="4" t="s">
        <v>138</v>
      </c>
      <c r="B36" s="6">
        <v>57</v>
      </c>
      <c r="C36" s="6" t="s">
        <v>118</v>
      </c>
      <c r="D36" s="7">
        <v>35</v>
      </c>
      <c r="E36" s="7" t="e">
        <f t="shared" si="0"/>
        <v>#REF!</v>
      </c>
      <c r="G36" s="7" t="str">
        <f t="shared" si="1"/>
        <v/>
      </c>
      <c r="H36" s="7" t="str">
        <f>IFERROR(VLOOKUP(G36,#REF!,2,FALSE),"")</f>
        <v/>
      </c>
    </row>
    <row r="37" spans="1:8" ht="15.75" thickBot="1" x14ac:dyDescent="0.3">
      <c r="A37" s="4" t="s">
        <v>136</v>
      </c>
      <c r="B37" s="6">
        <v>57</v>
      </c>
      <c r="C37" s="6" t="s">
        <v>118</v>
      </c>
      <c r="D37" s="7">
        <v>36</v>
      </c>
      <c r="E37" s="7" t="e">
        <f t="shared" si="0"/>
        <v>#REF!</v>
      </c>
      <c r="G37" s="7" t="str">
        <f t="shared" si="1"/>
        <v/>
      </c>
      <c r="H37" s="7" t="str">
        <f>IFERROR(VLOOKUP(G37,#REF!,2,FALSE),"")</f>
        <v/>
      </c>
    </row>
    <row r="38" spans="1:8" ht="15.75" thickBot="1" x14ac:dyDescent="0.3">
      <c r="A38" s="4" t="s">
        <v>138</v>
      </c>
      <c r="B38" s="6">
        <v>59</v>
      </c>
      <c r="C38" s="6" t="s">
        <v>121</v>
      </c>
      <c r="D38" s="7">
        <v>37</v>
      </c>
      <c r="E38" s="7" t="e">
        <f t="shared" si="0"/>
        <v>#REF!</v>
      </c>
      <c r="G38" s="7" t="str">
        <f t="shared" si="1"/>
        <v/>
      </c>
      <c r="H38" s="7" t="str">
        <f>IFERROR(VLOOKUP(G38,#REF!,2,FALSE),"")</f>
        <v/>
      </c>
    </row>
    <row r="39" spans="1:8" ht="15.75" thickBot="1" x14ac:dyDescent="0.3">
      <c r="A39" s="4" t="s">
        <v>136</v>
      </c>
      <c r="B39" s="6">
        <v>59</v>
      </c>
      <c r="C39" s="6" t="s">
        <v>121</v>
      </c>
      <c r="D39" s="7">
        <v>38</v>
      </c>
      <c r="E39" s="7" t="e">
        <f t="shared" si="0"/>
        <v>#REF!</v>
      </c>
      <c r="G39" s="7" t="str">
        <f t="shared" si="1"/>
        <v/>
      </c>
      <c r="H39" s="7" t="str">
        <f>IFERROR(VLOOKUP(G39,#REF!,2,FALSE),"")</f>
        <v/>
      </c>
    </row>
    <row r="40" spans="1:8" ht="15.75" thickBot="1" x14ac:dyDescent="0.3">
      <c r="A40" s="4" t="s">
        <v>138</v>
      </c>
      <c r="B40" s="6">
        <v>62</v>
      </c>
      <c r="C40" s="6" t="s">
        <v>116</v>
      </c>
      <c r="D40" s="7">
        <v>39</v>
      </c>
      <c r="E40" s="7" t="e">
        <f t="shared" si="0"/>
        <v>#REF!</v>
      </c>
      <c r="G40" s="7" t="str">
        <f t="shared" si="1"/>
        <v/>
      </c>
      <c r="H40" s="7" t="str">
        <f>IFERROR(VLOOKUP(G40,#REF!,2,FALSE),"")</f>
        <v/>
      </c>
    </row>
    <row r="41" spans="1:8" ht="15.75" thickBot="1" x14ac:dyDescent="0.3">
      <c r="A41" s="4" t="s">
        <v>136</v>
      </c>
      <c r="B41" s="6">
        <v>62</v>
      </c>
      <c r="C41" s="6" t="s">
        <v>116</v>
      </c>
      <c r="D41" s="7">
        <v>40</v>
      </c>
      <c r="E41" s="7" t="e">
        <f t="shared" si="0"/>
        <v>#REF!</v>
      </c>
      <c r="G41" s="7" t="str">
        <f t="shared" si="1"/>
        <v/>
      </c>
      <c r="H41" s="7" t="str">
        <f>IFERROR(VLOOKUP(G41,#REF!,2,FALSE),"")</f>
        <v/>
      </c>
    </row>
    <row r="42" spans="1:8" ht="15.75" thickBot="1" x14ac:dyDescent="0.3">
      <c r="A42" s="4" t="s">
        <v>139</v>
      </c>
      <c r="B42" s="6">
        <v>63</v>
      </c>
      <c r="C42" s="6" t="s">
        <v>115</v>
      </c>
      <c r="D42" s="7">
        <v>41</v>
      </c>
      <c r="E42" s="7" t="e">
        <f t="shared" si="0"/>
        <v>#REF!</v>
      </c>
      <c r="G42" s="7" t="str">
        <f t="shared" si="1"/>
        <v/>
      </c>
      <c r="H42" s="7" t="str">
        <f>IFERROR(VLOOKUP(G42,#REF!,2,FALSE),"")</f>
        <v/>
      </c>
    </row>
    <row r="43" spans="1:8" ht="15.75" thickBot="1" x14ac:dyDescent="0.3">
      <c r="A43" s="4" t="s">
        <v>137</v>
      </c>
      <c r="B43" s="6">
        <v>64</v>
      </c>
      <c r="C43" s="6" t="s">
        <v>12</v>
      </c>
      <c r="D43" s="7">
        <v>42</v>
      </c>
      <c r="E43" s="7" t="e">
        <f t="shared" si="0"/>
        <v>#REF!</v>
      </c>
      <c r="G43" s="7" t="str">
        <f t="shared" si="1"/>
        <v/>
      </c>
      <c r="H43" s="7" t="str">
        <f>IFERROR(VLOOKUP(G43,#REF!,2,FALSE),"")</f>
        <v/>
      </c>
    </row>
    <row r="44" spans="1:8" ht="15.75" thickBot="1" x14ac:dyDescent="0.3">
      <c r="A44" s="4" t="s">
        <v>138</v>
      </c>
      <c r="B44" s="6">
        <v>64</v>
      </c>
      <c r="C44" s="6" t="s">
        <v>12</v>
      </c>
      <c r="D44" s="7">
        <v>43</v>
      </c>
      <c r="E44" s="7" t="e">
        <f t="shared" si="0"/>
        <v>#REF!</v>
      </c>
      <c r="G44" s="7" t="str">
        <f t="shared" si="1"/>
        <v/>
      </c>
      <c r="H44" s="7" t="str">
        <f>IFERROR(VLOOKUP(G44,#REF!,2,FALSE),"")</f>
        <v/>
      </c>
    </row>
    <row r="45" spans="1:8" ht="15.75" thickBot="1" x14ac:dyDescent="0.3">
      <c r="A45" s="4" t="s">
        <v>137</v>
      </c>
      <c r="B45" s="6">
        <v>70</v>
      </c>
      <c r="C45" s="6" t="s">
        <v>71</v>
      </c>
      <c r="D45" s="7">
        <v>44</v>
      </c>
      <c r="E45" s="7" t="e">
        <f t="shared" si="0"/>
        <v>#REF!</v>
      </c>
      <c r="G45" s="7" t="str">
        <f t="shared" si="1"/>
        <v/>
      </c>
      <c r="H45" s="7" t="str">
        <f>IFERROR(VLOOKUP(G45,#REF!,2,FALSE),"")</f>
        <v/>
      </c>
    </row>
    <row r="46" spans="1:8" ht="15.75" thickBot="1" x14ac:dyDescent="0.3">
      <c r="A46" s="4" t="s">
        <v>138</v>
      </c>
      <c r="B46" s="6">
        <v>70</v>
      </c>
      <c r="C46" s="6" t="s">
        <v>71</v>
      </c>
      <c r="D46" s="7">
        <v>45</v>
      </c>
      <c r="E46" s="7" t="e">
        <f t="shared" si="0"/>
        <v>#REF!</v>
      </c>
      <c r="G46" s="7" t="str">
        <f t="shared" si="1"/>
        <v/>
      </c>
      <c r="H46" s="7" t="str">
        <f>IFERROR(VLOOKUP(G46,#REF!,2,FALSE),"")</f>
        <v/>
      </c>
    </row>
    <row r="47" spans="1:8" ht="15.75" thickBot="1" x14ac:dyDescent="0.3">
      <c r="A47" s="4" t="s">
        <v>138</v>
      </c>
      <c r="B47" s="6">
        <v>72</v>
      </c>
      <c r="C47" s="6" t="s">
        <v>127</v>
      </c>
      <c r="D47" s="7">
        <v>46</v>
      </c>
      <c r="E47" s="7" t="e">
        <f t="shared" si="0"/>
        <v>#REF!</v>
      </c>
      <c r="G47" s="7" t="str">
        <f t="shared" si="1"/>
        <v/>
      </c>
      <c r="H47" s="7" t="str">
        <f>IFERROR(VLOOKUP(G47,#REF!,2,FALSE),"")</f>
        <v/>
      </c>
    </row>
    <row r="48" spans="1:8" ht="15.75" thickBot="1" x14ac:dyDescent="0.3">
      <c r="A48" s="4" t="s">
        <v>136</v>
      </c>
      <c r="B48" s="6">
        <v>72</v>
      </c>
      <c r="C48" s="6" t="s">
        <v>127</v>
      </c>
      <c r="D48" s="7">
        <v>47</v>
      </c>
      <c r="E48" s="7" t="e">
        <f t="shared" si="0"/>
        <v>#REF!</v>
      </c>
      <c r="G48" s="7" t="str">
        <f t="shared" si="1"/>
        <v/>
      </c>
      <c r="H48" s="7" t="str">
        <f>IFERROR(VLOOKUP(G48,#REF!,2,FALSE),"")</f>
        <v/>
      </c>
    </row>
    <row r="49" spans="1:8" ht="15.75" thickBot="1" x14ac:dyDescent="0.3">
      <c r="A49" s="4" t="s">
        <v>138</v>
      </c>
      <c r="B49" s="6">
        <v>77</v>
      </c>
      <c r="C49" s="6" t="s">
        <v>92</v>
      </c>
      <c r="D49" s="7">
        <v>48</v>
      </c>
      <c r="E49" s="7" t="e">
        <f t="shared" si="0"/>
        <v>#REF!</v>
      </c>
      <c r="G49" s="7" t="str">
        <f t="shared" si="1"/>
        <v/>
      </c>
      <c r="H49" s="7" t="str">
        <f>IFERROR(VLOOKUP(G49,#REF!,2,FALSE),"")</f>
        <v/>
      </c>
    </row>
    <row r="50" spans="1:8" ht="15.75" thickBot="1" x14ac:dyDescent="0.3">
      <c r="A50" s="4" t="s">
        <v>136</v>
      </c>
      <c r="B50" s="6">
        <v>77</v>
      </c>
      <c r="C50" s="6" t="s">
        <v>92</v>
      </c>
      <c r="D50" s="7">
        <v>49</v>
      </c>
      <c r="E50" s="7" t="e">
        <f t="shared" si="0"/>
        <v>#REF!</v>
      </c>
      <c r="G50" s="7" t="str">
        <f t="shared" si="1"/>
        <v/>
      </c>
      <c r="H50" s="7" t="str">
        <f>IFERROR(VLOOKUP(G50,#REF!,2,FALSE),"")</f>
        <v/>
      </c>
    </row>
    <row r="51" spans="1:8" ht="15.75" thickBot="1" x14ac:dyDescent="0.3">
      <c r="A51" s="4" t="s">
        <v>138</v>
      </c>
      <c r="B51" s="6">
        <v>82</v>
      </c>
      <c r="C51" s="6" t="s">
        <v>112</v>
      </c>
      <c r="D51" s="7">
        <v>50</v>
      </c>
      <c r="E51" s="7" t="e">
        <f t="shared" si="0"/>
        <v>#REF!</v>
      </c>
      <c r="G51" s="7" t="str">
        <f t="shared" si="1"/>
        <v/>
      </c>
      <c r="H51" s="7" t="str">
        <f>IFERROR(VLOOKUP(G51,#REF!,2,FALSE),"")</f>
        <v/>
      </c>
    </row>
    <row r="52" spans="1:8" ht="15.75" thickBot="1" x14ac:dyDescent="0.3">
      <c r="A52" s="4" t="s">
        <v>136</v>
      </c>
      <c r="B52" s="6">
        <v>82</v>
      </c>
      <c r="C52" s="6" t="s">
        <v>112</v>
      </c>
      <c r="D52" s="7">
        <v>51</v>
      </c>
      <c r="E52" s="7" t="e">
        <f t="shared" si="0"/>
        <v>#REF!</v>
      </c>
      <c r="G52" s="7" t="str">
        <f t="shared" si="1"/>
        <v/>
      </c>
      <c r="H52" s="7" t="str">
        <f>IFERROR(VLOOKUP(G52,#REF!,2,FALSE),"")</f>
        <v/>
      </c>
    </row>
    <row r="53" spans="1:8" ht="15.75" thickBot="1" x14ac:dyDescent="0.3">
      <c r="A53" s="4" t="s">
        <v>138</v>
      </c>
      <c r="B53" s="6">
        <v>97</v>
      </c>
      <c r="C53" s="6" t="s">
        <v>94</v>
      </c>
      <c r="D53" s="7">
        <v>52</v>
      </c>
      <c r="E53" s="7" t="e">
        <f t="shared" si="0"/>
        <v>#REF!</v>
      </c>
      <c r="G53" s="7" t="str">
        <f t="shared" si="1"/>
        <v/>
      </c>
      <c r="H53" s="7" t="str">
        <f>IFERROR(VLOOKUP(G53,#REF!,2,FALSE),"")</f>
        <v/>
      </c>
    </row>
    <row r="54" spans="1:8" ht="15.75" thickBot="1" x14ac:dyDescent="0.3">
      <c r="A54" s="4" t="s">
        <v>136</v>
      </c>
      <c r="B54" s="6">
        <v>97</v>
      </c>
      <c r="C54" s="6" t="s">
        <v>94</v>
      </c>
      <c r="D54" s="7">
        <v>53</v>
      </c>
      <c r="E54" s="7" t="e">
        <f t="shared" si="0"/>
        <v>#REF!</v>
      </c>
      <c r="G54" s="7" t="str">
        <f t="shared" si="1"/>
        <v/>
      </c>
      <c r="H54" s="7" t="str">
        <f>IFERROR(VLOOKUP(G54,#REF!,2,FALSE),"")</f>
        <v/>
      </c>
    </row>
    <row r="55" spans="1:8" ht="15.75" thickBot="1" x14ac:dyDescent="0.3">
      <c r="A55" s="4" t="s">
        <v>137</v>
      </c>
      <c r="B55" s="6">
        <v>105</v>
      </c>
      <c r="C55" s="6" t="s">
        <v>69</v>
      </c>
      <c r="D55" s="7">
        <v>54</v>
      </c>
      <c r="E55" s="7" t="e">
        <f t="shared" si="0"/>
        <v>#REF!</v>
      </c>
      <c r="G55" s="7" t="str">
        <f t="shared" si="1"/>
        <v/>
      </c>
      <c r="H55" s="7" t="str">
        <f>IFERROR(VLOOKUP(G55,#REF!,2,FALSE),"")</f>
        <v/>
      </c>
    </row>
    <row r="56" spans="1:8" ht="15.75" thickBot="1" x14ac:dyDescent="0.3">
      <c r="A56" s="4" t="s">
        <v>138</v>
      </c>
      <c r="B56" s="6">
        <v>105</v>
      </c>
      <c r="C56" s="6" t="s">
        <v>69</v>
      </c>
      <c r="D56" s="7">
        <v>55</v>
      </c>
      <c r="E56" s="7" t="e">
        <f t="shared" si="0"/>
        <v>#REF!</v>
      </c>
      <c r="G56" s="7" t="str">
        <f t="shared" si="1"/>
        <v/>
      </c>
      <c r="H56" s="7" t="str">
        <f>IFERROR(VLOOKUP(G56,#REF!,2,FALSE),"")</f>
        <v/>
      </c>
    </row>
    <row r="57" spans="1:8" ht="15.75" thickBot="1" x14ac:dyDescent="0.3">
      <c r="A57" s="4" t="s">
        <v>138</v>
      </c>
      <c r="B57" s="6">
        <v>107</v>
      </c>
      <c r="C57" s="6" t="s">
        <v>120</v>
      </c>
      <c r="D57" s="7">
        <v>56</v>
      </c>
      <c r="E57" s="7" t="e">
        <f t="shared" si="0"/>
        <v>#REF!</v>
      </c>
      <c r="G57" s="7" t="str">
        <f t="shared" si="1"/>
        <v/>
      </c>
      <c r="H57" s="7" t="str">
        <f>IFERROR(VLOOKUP(G57,#REF!,2,FALSE),"")</f>
        <v/>
      </c>
    </row>
    <row r="58" spans="1:8" ht="15.75" thickBot="1" x14ac:dyDescent="0.3">
      <c r="A58" s="4" t="s">
        <v>136</v>
      </c>
      <c r="B58" s="6">
        <v>107</v>
      </c>
      <c r="C58" s="6" t="s">
        <v>120</v>
      </c>
      <c r="D58" s="7">
        <v>57</v>
      </c>
      <c r="E58" s="7" t="e">
        <f t="shared" si="0"/>
        <v>#REF!</v>
      </c>
      <c r="G58" s="7" t="str">
        <f t="shared" si="1"/>
        <v/>
      </c>
      <c r="H58" s="7" t="str">
        <f>IFERROR(VLOOKUP(G58,#REF!,2,FALSE),"")</f>
        <v/>
      </c>
    </row>
    <row r="59" spans="1:8" ht="15.75" thickBot="1" x14ac:dyDescent="0.3">
      <c r="A59" s="4" t="s">
        <v>138</v>
      </c>
      <c r="B59" s="6">
        <v>112</v>
      </c>
      <c r="C59" s="6" t="s">
        <v>96</v>
      </c>
      <c r="D59" s="7">
        <v>58</v>
      </c>
      <c r="E59" s="7" t="e">
        <f t="shared" si="0"/>
        <v>#REF!</v>
      </c>
      <c r="G59" s="7" t="str">
        <f t="shared" si="1"/>
        <v/>
      </c>
      <c r="H59" s="7" t="str">
        <f>IFERROR(VLOOKUP(G59,#REF!,2,FALSE),"")</f>
        <v/>
      </c>
    </row>
    <row r="60" spans="1:8" ht="15.75" thickBot="1" x14ac:dyDescent="0.3">
      <c r="A60" s="4" t="s">
        <v>136</v>
      </c>
      <c r="B60" s="6">
        <v>112</v>
      </c>
      <c r="C60" s="6" t="s">
        <v>96</v>
      </c>
      <c r="D60" s="7">
        <v>59</v>
      </c>
      <c r="E60" s="7" t="e">
        <f t="shared" si="0"/>
        <v>#REF!</v>
      </c>
      <c r="G60" s="7" t="str">
        <f t="shared" si="1"/>
        <v/>
      </c>
      <c r="H60" s="7" t="str">
        <f>IFERROR(VLOOKUP(G60,#REF!,2,FALSE),"")</f>
        <v/>
      </c>
    </row>
    <row r="61" spans="1:8" ht="15.75" thickBot="1" x14ac:dyDescent="0.3">
      <c r="A61" s="4" t="s">
        <v>138</v>
      </c>
      <c r="B61" s="6">
        <v>113</v>
      </c>
      <c r="C61" s="6" t="s">
        <v>95</v>
      </c>
      <c r="D61" s="7">
        <v>60</v>
      </c>
      <c r="E61" s="7" t="e">
        <f t="shared" si="0"/>
        <v>#REF!</v>
      </c>
      <c r="G61" s="7" t="str">
        <f t="shared" si="1"/>
        <v/>
      </c>
      <c r="H61" s="7" t="str">
        <f>IFERROR(VLOOKUP(G61,#REF!,2,FALSE),"")</f>
        <v/>
      </c>
    </row>
    <row r="62" spans="1:8" ht="15.75" thickBot="1" x14ac:dyDescent="0.3">
      <c r="A62" s="4" t="s">
        <v>136</v>
      </c>
      <c r="B62" s="6">
        <v>113</v>
      </c>
      <c r="C62" s="6" t="s">
        <v>95</v>
      </c>
      <c r="D62" s="7">
        <v>61</v>
      </c>
      <c r="E62" s="7" t="e">
        <f t="shared" si="0"/>
        <v>#REF!</v>
      </c>
      <c r="G62" s="7" t="str">
        <f t="shared" si="1"/>
        <v/>
      </c>
      <c r="H62" s="7" t="str">
        <f>IFERROR(VLOOKUP(G62,#REF!,2,FALSE),"")</f>
        <v/>
      </c>
    </row>
    <row r="63" spans="1:8" ht="15.75" thickBot="1" x14ac:dyDescent="0.3">
      <c r="A63" s="4" t="s">
        <v>138</v>
      </c>
      <c r="B63" s="6">
        <v>117</v>
      </c>
      <c r="C63" s="6" t="s">
        <v>113</v>
      </c>
      <c r="D63" s="7">
        <v>62</v>
      </c>
      <c r="E63" s="7" t="e">
        <f t="shared" si="0"/>
        <v>#REF!</v>
      </c>
      <c r="G63" s="7" t="str">
        <f t="shared" si="1"/>
        <v/>
      </c>
      <c r="H63" s="7" t="str">
        <f>IFERROR(VLOOKUP(G63,#REF!,2,FALSE),"")</f>
        <v/>
      </c>
    </row>
    <row r="64" spans="1:8" ht="15.75" thickBot="1" x14ac:dyDescent="0.3">
      <c r="A64" s="4" t="s">
        <v>136</v>
      </c>
      <c r="B64" s="6">
        <v>117</v>
      </c>
      <c r="C64" s="6" t="s">
        <v>113</v>
      </c>
      <c r="D64" s="7">
        <v>63</v>
      </c>
      <c r="E64" s="7" t="e">
        <f t="shared" si="0"/>
        <v>#REF!</v>
      </c>
      <c r="G64" s="7" t="str">
        <f t="shared" si="1"/>
        <v/>
      </c>
      <c r="H64" s="7" t="str">
        <f>IFERROR(VLOOKUP(G64,#REF!,2,FALSE),"")</f>
        <v/>
      </c>
    </row>
    <row r="65" spans="1:8" ht="15.75" thickBot="1" x14ac:dyDescent="0.3">
      <c r="A65" s="4" t="s">
        <v>137</v>
      </c>
      <c r="B65" s="6">
        <v>120</v>
      </c>
      <c r="C65" s="6" t="s">
        <v>88</v>
      </c>
      <c r="D65" s="7">
        <v>64</v>
      </c>
      <c r="E65" s="7" t="e">
        <f t="shared" si="0"/>
        <v>#REF!</v>
      </c>
      <c r="G65" s="7" t="str">
        <f t="shared" si="1"/>
        <v/>
      </c>
      <c r="H65" s="7" t="str">
        <f>IFERROR(VLOOKUP(G65,#REF!,2,FALSE),"")</f>
        <v/>
      </c>
    </row>
    <row r="66" spans="1:8" ht="15.75" thickBot="1" x14ac:dyDescent="0.3">
      <c r="A66" s="4" t="s">
        <v>138</v>
      </c>
      <c r="B66" s="6">
        <v>120</v>
      </c>
      <c r="C66" s="6" t="s">
        <v>88</v>
      </c>
      <c r="D66" s="7">
        <v>65</v>
      </c>
      <c r="E66" s="7" t="e">
        <f t="shared" si="0"/>
        <v>#REF!</v>
      </c>
      <c r="G66" s="7" t="str">
        <f t="shared" si="1"/>
        <v/>
      </c>
      <c r="H66" s="7" t="str">
        <f>IFERROR(VLOOKUP(G66,#REF!,2,FALSE),"")</f>
        <v/>
      </c>
    </row>
    <row r="67" spans="1:8" ht="15.75" thickBot="1" x14ac:dyDescent="0.3">
      <c r="A67" s="4" t="s">
        <v>138</v>
      </c>
      <c r="B67" s="6">
        <v>122</v>
      </c>
      <c r="C67" s="6" t="s">
        <v>110</v>
      </c>
      <c r="D67" s="7">
        <v>66</v>
      </c>
      <c r="E67" s="7" t="e">
        <f t="shared" ref="E67:E130" si="2">IF(A67=$F$2,B67,"")</f>
        <v>#REF!</v>
      </c>
      <c r="G67" s="7" t="str">
        <f t="shared" ref="G67:G130" si="3">IFERROR(SMALL($E$2:$E$250,D67),"")</f>
        <v/>
      </c>
      <c r="H67" s="7" t="str">
        <f>IFERROR(VLOOKUP(G67,#REF!,2,FALSE),"")</f>
        <v/>
      </c>
    </row>
    <row r="68" spans="1:8" ht="15.75" thickBot="1" x14ac:dyDescent="0.3">
      <c r="A68" s="4" t="s">
        <v>136</v>
      </c>
      <c r="B68" s="6">
        <v>122</v>
      </c>
      <c r="C68" s="6" t="s">
        <v>110</v>
      </c>
      <c r="D68" s="7">
        <v>67</v>
      </c>
      <c r="E68" s="7" t="e">
        <f t="shared" si="2"/>
        <v>#REF!</v>
      </c>
      <c r="G68" s="7" t="str">
        <f t="shared" si="3"/>
        <v/>
      </c>
      <c r="H68" s="7" t="str">
        <f>IFERROR(VLOOKUP(G68,#REF!,2,FALSE),"")</f>
        <v/>
      </c>
    </row>
    <row r="69" spans="1:8" ht="15.75" thickBot="1" x14ac:dyDescent="0.3">
      <c r="A69" s="4" t="s">
        <v>138</v>
      </c>
      <c r="B69" s="6">
        <v>127</v>
      </c>
      <c r="C69" s="6" t="s">
        <v>93</v>
      </c>
      <c r="D69" s="7">
        <v>68</v>
      </c>
      <c r="E69" s="7" t="e">
        <f t="shared" si="2"/>
        <v>#REF!</v>
      </c>
      <c r="G69" s="7" t="str">
        <f t="shared" si="3"/>
        <v/>
      </c>
      <c r="H69" s="7" t="str">
        <f>IFERROR(VLOOKUP(G69,#REF!,2,FALSE),"")</f>
        <v/>
      </c>
    </row>
    <row r="70" spans="1:8" ht="15.75" thickBot="1" x14ac:dyDescent="0.3">
      <c r="A70" s="4" t="s">
        <v>136</v>
      </c>
      <c r="B70" s="6">
        <v>127</v>
      </c>
      <c r="C70" s="6" t="s">
        <v>93</v>
      </c>
      <c r="D70" s="7">
        <v>69</v>
      </c>
      <c r="E70" s="7" t="e">
        <f t="shared" si="2"/>
        <v>#REF!</v>
      </c>
      <c r="G70" s="7" t="str">
        <f t="shared" si="3"/>
        <v/>
      </c>
      <c r="H70" s="7" t="str">
        <f>IFERROR(VLOOKUP(G70,#REF!,2,FALSE),"")</f>
        <v/>
      </c>
    </row>
    <row r="71" spans="1:8" ht="15.75" thickBot="1" x14ac:dyDescent="0.3">
      <c r="A71" s="4" t="s">
        <v>137</v>
      </c>
      <c r="B71" s="6">
        <v>140</v>
      </c>
      <c r="C71" s="6" t="s">
        <v>53</v>
      </c>
      <c r="D71" s="7">
        <v>70</v>
      </c>
      <c r="E71" s="7" t="e">
        <f t="shared" si="2"/>
        <v>#REF!</v>
      </c>
      <c r="G71" s="7" t="str">
        <f t="shared" si="3"/>
        <v/>
      </c>
      <c r="H71" s="7" t="str">
        <f>IFERROR(VLOOKUP(G71,#REF!,2,FALSE),"")</f>
        <v/>
      </c>
    </row>
    <row r="72" spans="1:8" ht="15.75" thickBot="1" x14ac:dyDescent="0.3">
      <c r="A72" s="4" t="s">
        <v>138</v>
      </c>
      <c r="B72" s="6">
        <v>140</v>
      </c>
      <c r="C72" s="6" t="s">
        <v>53</v>
      </c>
      <c r="D72" s="7">
        <v>71</v>
      </c>
      <c r="E72" s="7" t="e">
        <f t="shared" si="2"/>
        <v>#REF!</v>
      </c>
      <c r="G72" s="7" t="str">
        <f t="shared" si="3"/>
        <v/>
      </c>
      <c r="H72" s="7" t="str">
        <f>IFERROR(VLOOKUP(G72,#REF!,2,FALSE),"")</f>
        <v/>
      </c>
    </row>
    <row r="73" spans="1:8" ht="15.75" thickBot="1" x14ac:dyDescent="0.3">
      <c r="A73" s="4" t="s">
        <v>137</v>
      </c>
      <c r="B73" s="6">
        <v>150</v>
      </c>
      <c r="C73" s="6" t="s">
        <v>68</v>
      </c>
      <c r="D73" s="7">
        <v>72</v>
      </c>
      <c r="E73" s="7" t="e">
        <f t="shared" si="2"/>
        <v>#REF!</v>
      </c>
      <c r="G73" s="7" t="str">
        <f t="shared" si="3"/>
        <v/>
      </c>
      <c r="H73" s="7" t="str">
        <f>IFERROR(VLOOKUP(G73,#REF!,2,FALSE),"")</f>
        <v/>
      </c>
    </row>
    <row r="74" spans="1:8" ht="15.75" thickBot="1" x14ac:dyDescent="0.3">
      <c r="A74" s="4" t="s">
        <v>138</v>
      </c>
      <c r="B74" s="6">
        <v>150</v>
      </c>
      <c r="C74" s="6" t="s">
        <v>68</v>
      </c>
      <c r="D74" s="7">
        <v>73</v>
      </c>
      <c r="E74" s="7" t="e">
        <f t="shared" si="2"/>
        <v>#REF!</v>
      </c>
      <c r="G74" s="7" t="str">
        <f t="shared" si="3"/>
        <v/>
      </c>
      <c r="H74" s="7" t="str">
        <f>IFERROR(VLOOKUP(G74,#REF!,2,FALSE),"")</f>
        <v/>
      </c>
    </row>
    <row r="75" spans="1:8" ht="15.75" thickBot="1" x14ac:dyDescent="0.3">
      <c r="A75" s="4" t="s">
        <v>137</v>
      </c>
      <c r="B75" s="6">
        <v>160</v>
      </c>
      <c r="C75" s="6" t="s">
        <v>42</v>
      </c>
      <c r="D75" s="7">
        <v>74</v>
      </c>
      <c r="E75" s="7" t="e">
        <f t="shared" si="2"/>
        <v>#REF!</v>
      </c>
      <c r="G75" s="7" t="str">
        <f t="shared" si="3"/>
        <v/>
      </c>
      <c r="H75" s="7" t="str">
        <f>IFERROR(VLOOKUP(G75,#REF!,2,FALSE),"")</f>
        <v/>
      </c>
    </row>
    <row r="76" spans="1:8" ht="15.75" thickBot="1" x14ac:dyDescent="0.3">
      <c r="A76" s="4" t="s">
        <v>138</v>
      </c>
      <c r="B76" s="6">
        <v>160</v>
      </c>
      <c r="C76" s="6" t="s">
        <v>42</v>
      </c>
      <c r="D76" s="7">
        <v>75</v>
      </c>
      <c r="E76" s="7" t="e">
        <f t="shared" si="2"/>
        <v>#REF!</v>
      </c>
      <c r="G76" s="7" t="str">
        <f t="shared" si="3"/>
        <v/>
      </c>
      <c r="H76" s="7" t="str">
        <f>IFERROR(VLOOKUP(G76,#REF!,2,FALSE),"")</f>
        <v/>
      </c>
    </row>
    <row r="77" spans="1:8" ht="15.75" thickBot="1" x14ac:dyDescent="0.3">
      <c r="A77" s="4" t="s">
        <v>137</v>
      </c>
      <c r="B77" s="6">
        <v>185</v>
      </c>
      <c r="C77" s="6" t="s">
        <v>26</v>
      </c>
      <c r="D77" s="7">
        <v>76</v>
      </c>
      <c r="E77" s="7" t="e">
        <f t="shared" si="2"/>
        <v>#REF!</v>
      </c>
      <c r="G77" s="7" t="str">
        <f t="shared" si="3"/>
        <v/>
      </c>
      <c r="H77" s="7" t="str">
        <f>IFERROR(VLOOKUP(G77,#REF!,2,FALSE),"")</f>
        <v/>
      </c>
    </row>
    <row r="78" spans="1:8" ht="15.75" thickBot="1" x14ac:dyDescent="0.3">
      <c r="A78" s="4" t="s">
        <v>138</v>
      </c>
      <c r="B78" s="6">
        <v>185</v>
      </c>
      <c r="C78" s="6" t="s">
        <v>26</v>
      </c>
      <c r="D78" s="7">
        <v>77</v>
      </c>
      <c r="E78" s="7" t="e">
        <f t="shared" si="2"/>
        <v>#REF!</v>
      </c>
      <c r="G78" s="7" t="str">
        <f t="shared" si="3"/>
        <v/>
      </c>
      <c r="H78" s="7" t="str">
        <f>IFERROR(VLOOKUP(G78,#REF!,2,FALSE),"")</f>
        <v/>
      </c>
    </row>
    <row r="79" spans="1:8" ht="15.75" thickBot="1" x14ac:dyDescent="0.3">
      <c r="A79" s="4" t="s">
        <v>137</v>
      </c>
      <c r="B79" s="6">
        <v>205</v>
      </c>
      <c r="C79" s="6" t="s">
        <v>15</v>
      </c>
      <c r="D79" s="7">
        <v>78</v>
      </c>
      <c r="E79" s="7" t="e">
        <f t="shared" si="2"/>
        <v>#REF!</v>
      </c>
      <c r="G79" s="7" t="str">
        <f t="shared" si="3"/>
        <v/>
      </c>
      <c r="H79" s="7" t="str">
        <f>IFERROR(VLOOKUP(G79,#REF!,2,FALSE),"")</f>
        <v/>
      </c>
    </row>
    <row r="80" spans="1:8" ht="15.75" thickBot="1" x14ac:dyDescent="0.3">
      <c r="A80" s="4" t="s">
        <v>138</v>
      </c>
      <c r="B80" s="6">
        <v>205</v>
      </c>
      <c r="C80" s="6" t="s">
        <v>15</v>
      </c>
      <c r="D80" s="7">
        <v>79</v>
      </c>
      <c r="E80" s="7" t="e">
        <f t="shared" si="2"/>
        <v>#REF!</v>
      </c>
      <c r="G80" s="7" t="str">
        <f t="shared" si="3"/>
        <v/>
      </c>
      <c r="H80" s="7" t="str">
        <f>IFERROR(VLOOKUP(G80,#REF!,2,FALSE),"")</f>
        <v/>
      </c>
    </row>
    <row r="81" spans="1:8" ht="15.75" thickBot="1" x14ac:dyDescent="0.3">
      <c r="A81" s="4" t="s">
        <v>137</v>
      </c>
      <c r="B81" s="6">
        <v>215</v>
      </c>
      <c r="C81" s="6" t="s">
        <v>114</v>
      </c>
      <c r="D81" s="7">
        <v>80</v>
      </c>
      <c r="E81" s="7" t="e">
        <f t="shared" si="2"/>
        <v>#REF!</v>
      </c>
      <c r="G81" s="7" t="str">
        <f t="shared" si="3"/>
        <v/>
      </c>
      <c r="H81" s="7" t="str">
        <f>IFERROR(VLOOKUP(G81,#REF!,2,FALSE),"")</f>
        <v/>
      </c>
    </row>
    <row r="82" spans="1:8" ht="15.75" thickBot="1" x14ac:dyDescent="0.3">
      <c r="A82" s="4" t="s">
        <v>138</v>
      </c>
      <c r="B82" s="6">
        <v>215</v>
      </c>
      <c r="C82" s="6" t="s">
        <v>114</v>
      </c>
      <c r="D82" s="7">
        <v>81</v>
      </c>
      <c r="E82" s="7" t="e">
        <f t="shared" si="2"/>
        <v>#REF!</v>
      </c>
      <c r="G82" s="7" t="str">
        <f t="shared" si="3"/>
        <v/>
      </c>
      <c r="H82" s="7" t="str">
        <f>IFERROR(VLOOKUP(G82,#REF!,2,FALSE),"")</f>
        <v/>
      </c>
    </row>
    <row r="83" spans="1:8" ht="15.75" thickBot="1" x14ac:dyDescent="0.3">
      <c r="A83" s="4" t="s">
        <v>137</v>
      </c>
      <c r="B83" s="6">
        <v>245</v>
      </c>
      <c r="C83" s="6" t="s">
        <v>130</v>
      </c>
      <c r="D83" s="7">
        <v>82</v>
      </c>
      <c r="E83" s="7" t="e">
        <f t="shared" si="2"/>
        <v>#REF!</v>
      </c>
      <c r="G83" s="7" t="str">
        <f t="shared" si="3"/>
        <v/>
      </c>
      <c r="H83" s="7" t="str">
        <f>IFERROR(VLOOKUP(G83,#REF!,2,FALSE),"")</f>
        <v/>
      </c>
    </row>
    <row r="84" spans="1:8" ht="15.75" thickBot="1" x14ac:dyDescent="0.3">
      <c r="A84" s="4" t="s">
        <v>138</v>
      </c>
      <c r="B84" s="6">
        <v>245</v>
      </c>
      <c r="C84" s="6" t="s">
        <v>130</v>
      </c>
      <c r="D84" s="7">
        <v>83</v>
      </c>
      <c r="E84" s="7" t="e">
        <f t="shared" si="2"/>
        <v>#REF!</v>
      </c>
      <c r="G84" s="7" t="str">
        <f t="shared" si="3"/>
        <v/>
      </c>
      <c r="H84" s="7" t="str">
        <f>IFERROR(VLOOKUP(G84,#REF!,2,FALSE),"")</f>
        <v/>
      </c>
    </row>
    <row r="85" spans="1:8" ht="15.75" thickBot="1" x14ac:dyDescent="0.3">
      <c r="A85" s="4" t="s">
        <v>137</v>
      </c>
      <c r="B85" s="6">
        <v>250</v>
      </c>
      <c r="C85" s="6" t="s">
        <v>18</v>
      </c>
      <c r="D85" s="7">
        <v>84</v>
      </c>
      <c r="E85" s="7" t="e">
        <f t="shared" si="2"/>
        <v>#REF!</v>
      </c>
      <c r="G85" s="7" t="str">
        <f t="shared" si="3"/>
        <v/>
      </c>
      <c r="H85" s="7" t="str">
        <f>IFERROR(VLOOKUP(G85,#REF!,2,FALSE),"")</f>
        <v/>
      </c>
    </row>
    <row r="86" spans="1:8" ht="15.75" thickBot="1" x14ac:dyDescent="0.3">
      <c r="A86" s="4" t="s">
        <v>138</v>
      </c>
      <c r="B86" s="6">
        <v>250</v>
      </c>
      <c r="C86" s="6" t="s">
        <v>18</v>
      </c>
      <c r="D86" s="7">
        <v>85</v>
      </c>
      <c r="E86" s="7" t="e">
        <f t="shared" si="2"/>
        <v>#REF!</v>
      </c>
      <c r="G86" s="7" t="str">
        <f t="shared" si="3"/>
        <v/>
      </c>
      <c r="H86" s="7" t="str">
        <f>IFERROR(VLOOKUP(G86,#REF!,2,FALSE),"")</f>
        <v/>
      </c>
    </row>
    <row r="87" spans="1:8" ht="15.75" thickBot="1" x14ac:dyDescent="0.3">
      <c r="A87" s="4" t="s">
        <v>137</v>
      </c>
      <c r="B87" s="6">
        <v>255</v>
      </c>
      <c r="C87" s="6" t="s">
        <v>72</v>
      </c>
      <c r="D87" s="7">
        <v>86</v>
      </c>
      <c r="E87" s="7" t="e">
        <f t="shared" si="2"/>
        <v>#REF!</v>
      </c>
      <c r="G87" s="7" t="str">
        <f t="shared" si="3"/>
        <v/>
      </c>
      <c r="H87" s="7" t="str">
        <f>IFERROR(VLOOKUP(G87,#REF!,2,FALSE),"")</f>
        <v/>
      </c>
    </row>
    <row r="88" spans="1:8" ht="15.75" thickBot="1" x14ac:dyDescent="0.3">
      <c r="A88" s="4" t="s">
        <v>138</v>
      </c>
      <c r="B88" s="6">
        <v>255</v>
      </c>
      <c r="C88" s="6" t="s">
        <v>72</v>
      </c>
      <c r="D88" s="7">
        <v>87</v>
      </c>
      <c r="E88" s="7" t="e">
        <f t="shared" si="2"/>
        <v>#REF!</v>
      </c>
      <c r="G88" s="7" t="str">
        <f t="shared" si="3"/>
        <v/>
      </c>
      <c r="H88" s="7" t="str">
        <f>IFERROR(VLOOKUP(G88,#REF!,2,FALSE),"")</f>
        <v/>
      </c>
    </row>
    <row r="89" spans="1:8" ht="15.75" thickBot="1" x14ac:dyDescent="0.3">
      <c r="A89" s="4" t="s">
        <v>137</v>
      </c>
      <c r="B89" s="6">
        <v>260</v>
      </c>
      <c r="C89" s="6" t="s">
        <v>73</v>
      </c>
      <c r="D89" s="7">
        <v>88</v>
      </c>
      <c r="E89" s="7" t="e">
        <f t="shared" si="2"/>
        <v>#REF!</v>
      </c>
      <c r="G89" s="7" t="str">
        <f t="shared" si="3"/>
        <v/>
      </c>
      <c r="H89" s="7" t="str">
        <f>IFERROR(VLOOKUP(G89,#REF!,2,FALSE),"")</f>
        <v/>
      </c>
    </row>
    <row r="90" spans="1:8" ht="15.75" thickBot="1" x14ac:dyDescent="0.3">
      <c r="A90" s="4" t="s">
        <v>138</v>
      </c>
      <c r="B90" s="6">
        <v>260</v>
      </c>
      <c r="C90" s="6" t="s">
        <v>73</v>
      </c>
      <c r="D90" s="7">
        <v>89</v>
      </c>
      <c r="E90" s="7" t="e">
        <f t="shared" si="2"/>
        <v>#REF!</v>
      </c>
      <c r="G90" s="7" t="str">
        <f t="shared" si="3"/>
        <v/>
      </c>
      <c r="H90" s="7" t="str">
        <f>IFERROR(VLOOKUP(G90,#REF!,2,FALSE),"")</f>
        <v/>
      </c>
    </row>
    <row r="91" spans="1:8" ht="15.75" thickBot="1" x14ac:dyDescent="0.3">
      <c r="A91" s="4" t="s">
        <v>137</v>
      </c>
      <c r="B91" s="6">
        <v>270</v>
      </c>
      <c r="C91" s="6" t="s">
        <v>52</v>
      </c>
      <c r="D91" s="7">
        <v>90</v>
      </c>
      <c r="E91" s="7" t="e">
        <f t="shared" si="2"/>
        <v>#REF!</v>
      </c>
      <c r="G91" s="7" t="str">
        <f t="shared" si="3"/>
        <v/>
      </c>
      <c r="H91" s="7" t="str">
        <f>IFERROR(VLOOKUP(G91,#REF!,2,FALSE),"")</f>
        <v/>
      </c>
    </row>
    <row r="92" spans="1:8" ht="15.75" thickBot="1" x14ac:dyDescent="0.3">
      <c r="A92" s="4" t="s">
        <v>138</v>
      </c>
      <c r="B92" s="6">
        <v>270</v>
      </c>
      <c r="C92" s="6" t="s">
        <v>52</v>
      </c>
      <c r="D92" s="7">
        <v>91</v>
      </c>
      <c r="E92" s="7" t="e">
        <f t="shared" si="2"/>
        <v>#REF!</v>
      </c>
      <c r="G92" s="7" t="str">
        <f t="shared" si="3"/>
        <v/>
      </c>
      <c r="H92" s="7" t="str">
        <f>IFERROR(VLOOKUP(G92,#REF!,2,FALSE),"")</f>
        <v/>
      </c>
    </row>
    <row r="93" spans="1:8" ht="15.75" thickBot="1" x14ac:dyDescent="0.3">
      <c r="A93" s="4" t="s">
        <v>137</v>
      </c>
      <c r="B93" s="6">
        <v>285</v>
      </c>
      <c r="C93" s="6" t="s">
        <v>24</v>
      </c>
      <c r="D93" s="7">
        <v>92</v>
      </c>
      <c r="E93" s="7" t="e">
        <f t="shared" si="2"/>
        <v>#REF!</v>
      </c>
      <c r="G93" s="7" t="str">
        <f t="shared" si="3"/>
        <v/>
      </c>
      <c r="H93" s="7" t="str">
        <f>IFERROR(VLOOKUP(G93,#REF!,2,FALSE),"")</f>
        <v/>
      </c>
    </row>
    <row r="94" spans="1:8" ht="15.75" thickBot="1" x14ac:dyDescent="0.3">
      <c r="A94" s="4" t="s">
        <v>138</v>
      </c>
      <c r="B94" s="6">
        <v>285</v>
      </c>
      <c r="C94" s="6" t="s">
        <v>24</v>
      </c>
      <c r="D94" s="7">
        <v>93</v>
      </c>
      <c r="E94" s="7" t="e">
        <f t="shared" si="2"/>
        <v>#REF!</v>
      </c>
      <c r="G94" s="7" t="str">
        <f t="shared" si="3"/>
        <v/>
      </c>
      <c r="H94" s="7" t="str">
        <f>IFERROR(VLOOKUP(G94,#REF!,2,FALSE),"")</f>
        <v/>
      </c>
    </row>
    <row r="95" spans="1:8" ht="15.75" thickBot="1" x14ac:dyDescent="0.3">
      <c r="A95" s="4" t="s">
        <v>137</v>
      </c>
      <c r="B95" s="6">
        <v>290</v>
      </c>
      <c r="C95" s="6" t="s">
        <v>35</v>
      </c>
      <c r="D95" s="7">
        <v>94</v>
      </c>
      <c r="E95" s="7" t="e">
        <f t="shared" si="2"/>
        <v>#REF!</v>
      </c>
      <c r="G95" s="7" t="str">
        <f t="shared" si="3"/>
        <v/>
      </c>
      <c r="H95" s="7" t="str">
        <f>IFERROR(VLOOKUP(G95,#REF!,2,FALSE),"")</f>
        <v/>
      </c>
    </row>
    <row r="96" spans="1:8" ht="15.75" thickBot="1" x14ac:dyDescent="0.3">
      <c r="A96" s="4" t="s">
        <v>138</v>
      </c>
      <c r="B96" s="6">
        <v>290</v>
      </c>
      <c r="C96" s="6" t="s">
        <v>35</v>
      </c>
      <c r="D96" s="7">
        <v>95</v>
      </c>
      <c r="E96" s="7" t="e">
        <f t="shared" si="2"/>
        <v>#REF!</v>
      </c>
      <c r="G96" s="7" t="str">
        <f t="shared" si="3"/>
        <v/>
      </c>
      <c r="H96" s="7" t="str">
        <f>IFERROR(VLOOKUP(G96,#REF!,2,FALSE),"")</f>
        <v/>
      </c>
    </row>
    <row r="97" spans="1:8" ht="15.75" thickBot="1" x14ac:dyDescent="0.3">
      <c r="A97" s="4" t="s">
        <v>137</v>
      </c>
      <c r="B97" s="6">
        <v>295</v>
      </c>
      <c r="C97" s="6" t="s">
        <v>54</v>
      </c>
      <c r="D97" s="7">
        <v>96</v>
      </c>
      <c r="E97" s="7" t="e">
        <f t="shared" si="2"/>
        <v>#REF!</v>
      </c>
      <c r="G97" s="7" t="str">
        <f t="shared" si="3"/>
        <v/>
      </c>
      <c r="H97" s="7" t="str">
        <f>IFERROR(VLOOKUP(G97,#REF!,2,FALSE),"")</f>
        <v/>
      </c>
    </row>
    <row r="98" spans="1:8" ht="15.75" thickBot="1" x14ac:dyDescent="0.3">
      <c r="A98" s="4" t="s">
        <v>138</v>
      </c>
      <c r="B98" s="6">
        <v>295</v>
      </c>
      <c r="C98" s="6" t="s">
        <v>54</v>
      </c>
      <c r="D98" s="7">
        <v>97</v>
      </c>
      <c r="E98" s="7" t="e">
        <f t="shared" si="2"/>
        <v>#REF!</v>
      </c>
      <c r="G98" s="7" t="str">
        <f t="shared" si="3"/>
        <v/>
      </c>
      <c r="H98" s="7" t="str">
        <f>IFERROR(VLOOKUP(G98,#REF!,2,FALSE),"")</f>
        <v/>
      </c>
    </row>
    <row r="99" spans="1:8" ht="15.75" thickBot="1" x14ac:dyDescent="0.3">
      <c r="A99" s="4" t="s">
        <v>137</v>
      </c>
      <c r="B99" s="6">
        <v>320</v>
      </c>
      <c r="C99" s="6" t="s">
        <v>86</v>
      </c>
      <c r="D99" s="7">
        <v>98</v>
      </c>
      <c r="E99" s="7" t="e">
        <f t="shared" si="2"/>
        <v>#REF!</v>
      </c>
      <c r="G99" s="7" t="str">
        <f t="shared" si="3"/>
        <v/>
      </c>
      <c r="H99" s="7" t="str">
        <f>IFERROR(VLOOKUP(G99,#REF!,2,FALSE),"")</f>
        <v/>
      </c>
    </row>
    <row r="100" spans="1:8" ht="15.75" thickBot="1" x14ac:dyDescent="0.3">
      <c r="A100" s="4" t="s">
        <v>138</v>
      </c>
      <c r="B100" s="6">
        <v>320</v>
      </c>
      <c r="C100" s="6" t="s">
        <v>86</v>
      </c>
      <c r="D100" s="7">
        <v>99</v>
      </c>
      <c r="E100" s="7" t="e">
        <f t="shared" si="2"/>
        <v>#REF!</v>
      </c>
      <c r="G100" s="7" t="str">
        <f t="shared" si="3"/>
        <v/>
      </c>
      <c r="H100" s="7" t="str">
        <f>IFERROR(VLOOKUP(G100,#REF!,2,FALSE),"")</f>
        <v/>
      </c>
    </row>
    <row r="101" spans="1:8" ht="15.75" thickBot="1" x14ac:dyDescent="0.3">
      <c r="A101" s="4" t="s">
        <v>137</v>
      </c>
      <c r="B101" s="6">
        <v>345</v>
      </c>
      <c r="C101" s="6" t="s">
        <v>19</v>
      </c>
      <c r="D101" s="7">
        <v>100</v>
      </c>
      <c r="E101" s="7" t="e">
        <f t="shared" si="2"/>
        <v>#REF!</v>
      </c>
      <c r="G101" s="7" t="str">
        <f t="shared" si="3"/>
        <v/>
      </c>
      <c r="H101" s="7" t="str">
        <f>IFERROR(VLOOKUP(G101,#REF!,2,FALSE),"")</f>
        <v/>
      </c>
    </row>
    <row r="102" spans="1:8" ht="15.75" thickBot="1" x14ac:dyDescent="0.3">
      <c r="A102" s="4" t="s">
        <v>138</v>
      </c>
      <c r="B102" s="6">
        <v>345</v>
      </c>
      <c r="C102" s="6" t="s">
        <v>19</v>
      </c>
      <c r="D102" s="7">
        <v>101</v>
      </c>
      <c r="E102" s="7" t="e">
        <f t="shared" si="2"/>
        <v>#REF!</v>
      </c>
      <c r="G102" s="7" t="str">
        <f t="shared" si="3"/>
        <v/>
      </c>
      <c r="H102" s="7" t="str">
        <f>IFERROR(VLOOKUP(G102,#REF!,2,FALSE),"")</f>
        <v/>
      </c>
    </row>
    <row r="103" spans="1:8" ht="15.75" thickBot="1" x14ac:dyDescent="0.3">
      <c r="A103" s="4" t="s">
        <v>137</v>
      </c>
      <c r="B103" s="6">
        <v>350</v>
      </c>
      <c r="C103" s="6" t="s">
        <v>55</v>
      </c>
      <c r="D103" s="7">
        <v>102</v>
      </c>
      <c r="E103" s="7" t="e">
        <f t="shared" si="2"/>
        <v>#REF!</v>
      </c>
      <c r="G103" s="7" t="str">
        <f t="shared" si="3"/>
        <v/>
      </c>
      <c r="H103" s="7" t="str">
        <f>IFERROR(VLOOKUP(G103,#REF!,2,FALSE),"")</f>
        <v/>
      </c>
    </row>
    <row r="104" spans="1:8" ht="15.75" thickBot="1" x14ac:dyDescent="0.3">
      <c r="A104" s="4" t="s">
        <v>138</v>
      </c>
      <c r="B104" s="6">
        <v>350</v>
      </c>
      <c r="C104" s="6" t="s">
        <v>55</v>
      </c>
      <c r="D104" s="7">
        <v>103</v>
      </c>
      <c r="E104" s="7" t="e">
        <f t="shared" si="2"/>
        <v>#REF!</v>
      </c>
      <c r="G104" s="7" t="str">
        <f t="shared" si="3"/>
        <v/>
      </c>
      <c r="H104" s="7" t="str">
        <f>IFERROR(VLOOKUP(G104,#REF!,2,FALSE),"")</f>
        <v/>
      </c>
    </row>
    <row r="105" spans="1:8" ht="15.75" thickBot="1" x14ac:dyDescent="0.3">
      <c r="A105" s="4" t="s">
        <v>137</v>
      </c>
      <c r="B105" s="6">
        <v>360</v>
      </c>
      <c r="C105" s="6" t="s">
        <v>128</v>
      </c>
      <c r="D105" s="7">
        <v>104</v>
      </c>
      <c r="E105" s="7" t="e">
        <f t="shared" si="2"/>
        <v>#REF!</v>
      </c>
      <c r="G105" s="7" t="str">
        <f t="shared" si="3"/>
        <v/>
      </c>
      <c r="H105" s="7" t="str">
        <f>IFERROR(VLOOKUP(G105,#REF!,2,FALSE),"")</f>
        <v/>
      </c>
    </row>
    <row r="106" spans="1:8" ht="15.75" thickBot="1" x14ac:dyDescent="0.3">
      <c r="A106" s="4" t="s">
        <v>138</v>
      </c>
      <c r="B106" s="6">
        <v>360</v>
      </c>
      <c r="C106" s="6" t="s">
        <v>128</v>
      </c>
      <c r="D106" s="7">
        <v>105</v>
      </c>
      <c r="E106" s="7" t="e">
        <f t="shared" si="2"/>
        <v>#REF!</v>
      </c>
      <c r="G106" s="7" t="str">
        <f t="shared" si="3"/>
        <v/>
      </c>
      <c r="H106" s="7" t="str">
        <f>IFERROR(VLOOKUP(G106,#REF!,2,FALSE),"")</f>
        <v/>
      </c>
    </row>
    <row r="107" spans="1:8" ht="15.75" thickBot="1" x14ac:dyDescent="0.3">
      <c r="A107" s="4" t="s">
        <v>137</v>
      </c>
      <c r="B107" s="6">
        <v>380</v>
      </c>
      <c r="C107" s="6" t="s">
        <v>51</v>
      </c>
      <c r="D107" s="7">
        <v>106</v>
      </c>
      <c r="E107" s="7" t="e">
        <f t="shared" si="2"/>
        <v>#REF!</v>
      </c>
      <c r="G107" s="7" t="str">
        <f t="shared" si="3"/>
        <v/>
      </c>
      <c r="H107" s="7" t="str">
        <f>IFERROR(VLOOKUP(G107,#REF!,2,FALSE),"")</f>
        <v/>
      </c>
    </row>
    <row r="108" spans="1:8" ht="15.75" thickBot="1" x14ac:dyDescent="0.3">
      <c r="A108" s="4" t="s">
        <v>138</v>
      </c>
      <c r="B108" s="6">
        <v>380</v>
      </c>
      <c r="C108" s="6" t="s">
        <v>51</v>
      </c>
      <c r="D108" s="7">
        <v>107</v>
      </c>
      <c r="E108" s="7" t="e">
        <f t="shared" si="2"/>
        <v>#REF!</v>
      </c>
      <c r="G108" s="7" t="str">
        <f t="shared" si="3"/>
        <v/>
      </c>
      <c r="H108" s="7" t="str">
        <f>IFERROR(VLOOKUP(G108,#REF!,2,FALSE),"")</f>
        <v/>
      </c>
    </row>
    <row r="109" spans="1:8" ht="15.75" thickBot="1" x14ac:dyDescent="0.3">
      <c r="A109" s="4" t="s">
        <v>137</v>
      </c>
      <c r="B109" s="6">
        <v>390</v>
      </c>
      <c r="C109" s="6" t="s">
        <v>33</v>
      </c>
      <c r="D109" s="7">
        <v>108</v>
      </c>
      <c r="E109" s="7" t="e">
        <f t="shared" si="2"/>
        <v>#REF!</v>
      </c>
      <c r="G109" s="7" t="str">
        <f t="shared" si="3"/>
        <v/>
      </c>
      <c r="H109" s="7" t="str">
        <f>IFERROR(VLOOKUP(G109,#REF!,2,FALSE),"")</f>
        <v/>
      </c>
    </row>
    <row r="110" spans="1:8" ht="15.75" thickBot="1" x14ac:dyDescent="0.3">
      <c r="A110" s="4" t="s">
        <v>138</v>
      </c>
      <c r="B110" s="6">
        <v>390</v>
      </c>
      <c r="C110" s="6" t="s">
        <v>33</v>
      </c>
      <c r="D110" s="7">
        <v>109</v>
      </c>
      <c r="E110" s="7" t="e">
        <f t="shared" si="2"/>
        <v>#REF!</v>
      </c>
      <c r="G110" s="7" t="str">
        <f t="shared" si="3"/>
        <v/>
      </c>
      <c r="H110" s="7" t="str">
        <f>IFERROR(VLOOKUP(G110,#REF!,2,FALSE),"")</f>
        <v/>
      </c>
    </row>
    <row r="111" spans="1:8" ht="15.75" thickBot="1" x14ac:dyDescent="0.3">
      <c r="A111" s="4" t="s">
        <v>137</v>
      </c>
      <c r="B111" s="6">
        <v>395</v>
      </c>
      <c r="C111" s="6" t="s">
        <v>38</v>
      </c>
      <c r="D111" s="7">
        <v>110</v>
      </c>
      <c r="E111" s="7" t="e">
        <f t="shared" si="2"/>
        <v>#REF!</v>
      </c>
      <c r="G111" s="7" t="str">
        <f t="shared" si="3"/>
        <v/>
      </c>
      <c r="H111" s="7" t="str">
        <f>IFERROR(VLOOKUP(G111,#REF!,2,FALSE),"")</f>
        <v/>
      </c>
    </row>
    <row r="112" spans="1:8" ht="15.75" thickBot="1" x14ac:dyDescent="0.3">
      <c r="A112" s="4" t="s">
        <v>138</v>
      </c>
      <c r="B112" s="6">
        <v>395</v>
      </c>
      <c r="C112" s="6" t="s">
        <v>38</v>
      </c>
      <c r="D112" s="7">
        <v>111</v>
      </c>
      <c r="E112" s="7" t="e">
        <f t="shared" si="2"/>
        <v>#REF!</v>
      </c>
      <c r="G112" s="7" t="str">
        <f t="shared" si="3"/>
        <v/>
      </c>
      <c r="H112" s="7" t="str">
        <f>IFERROR(VLOOKUP(G112,#REF!,2,FALSE),"")</f>
        <v/>
      </c>
    </row>
    <row r="113" spans="1:8" ht="15.75" thickBot="1" x14ac:dyDescent="0.3">
      <c r="A113" s="4" t="s">
        <v>137</v>
      </c>
      <c r="B113" s="6">
        <v>397</v>
      </c>
      <c r="C113" s="6" t="s">
        <v>37</v>
      </c>
      <c r="D113" s="7">
        <v>112</v>
      </c>
      <c r="E113" s="7" t="e">
        <f t="shared" si="2"/>
        <v>#REF!</v>
      </c>
      <c r="G113" s="7" t="str">
        <f t="shared" si="3"/>
        <v/>
      </c>
      <c r="H113" s="7" t="str">
        <f>IFERROR(VLOOKUP(G113,#REF!,2,FALSE),"")</f>
        <v/>
      </c>
    </row>
    <row r="114" spans="1:8" ht="15.75" thickBot="1" x14ac:dyDescent="0.3">
      <c r="A114" s="4" t="s">
        <v>138</v>
      </c>
      <c r="B114" s="6">
        <v>397</v>
      </c>
      <c r="C114" s="6" t="s">
        <v>37</v>
      </c>
      <c r="D114" s="7">
        <v>113</v>
      </c>
      <c r="E114" s="7" t="e">
        <f t="shared" si="2"/>
        <v>#REF!</v>
      </c>
      <c r="G114" s="7" t="str">
        <f t="shared" si="3"/>
        <v/>
      </c>
      <c r="H114" s="7" t="str">
        <f>IFERROR(VLOOKUP(G114,#REF!,2,FALSE),"")</f>
        <v/>
      </c>
    </row>
    <row r="115" spans="1:8" ht="15.75" thickBot="1" x14ac:dyDescent="0.3">
      <c r="A115" s="4" t="s">
        <v>137</v>
      </c>
      <c r="B115" s="6">
        <v>400</v>
      </c>
      <c r="C115" s="6" t="s">
        <v>40</v>
      </c>
      <c r="D115" s="7">
        <v>114</v>
      </c>
      <c r="E115" s="7" t="e">
        <f t="shared" si="2"/>
        <v>#REF!</v>
      </c>
      <c r="G115" s="7" t="str">
        <f t="shared" si="3"/>
        <v/>
      </c>
      <c r="H115" s="7" t="str">
        <f>IFERROR(VLOOKUP(G115,#REF!,2,FALSE),"")</f>
        <v/>
      </c>
    </row>
    <row r="116" spans="1:8" ht="15.75" thickBot="1" x14ac:dyDescent="0.3">
      <c r="A116" s="4" t="s">
        <v>138</v>
      </c>
      <c r="B116" s="6">
        <v>400</v>
      </c>
      <c r="C116" s="6" t="s">
        <v>40</v>
      </c>
      <c r="D116" s="7">
        <v>115</v>
      </c>
      <c r="E116" s="7" t="e">
        <f t="shared" si="2"/>
        <v>#REF!</v>
      </c>
      <c r="G116" s="7" t="str">
        <f t="shared" si="3"/>
        <v/>
      </c>
      <c r="H116" s="7" t="str">
        <f>IFERROR(VLOOKUP(G116,#REF!,2,FALSE),"")</f>
        <v/>
      </c>
    </row>
    <row r="117" spans="1:8" ht="15.75" thickBot="1" x14ac:dyDescent="0.3">
      <c r="A117" s="4" t="s">
        <v>137</v>
      </c>
      <c r="B117" s="6">
        <v>405</v>
      </c>
      <c r="C117" s="6" t="s">
        <v>36</v>
      </c>
      <c r="D117" s="7">
        <v>116</v>
      </c>
      <c r="E117" s="7" t="e">
        <f t="shared" si="2"/>
        <v>#REF!</v>
      </c>
      <c r="G117" s="7" t="str">
        <f t="shared" si="3"/>
        <v/>
      </c>
      <c r="H117" s="7" t="str">
        <f>IFERROR(VLOOKUP(G117,#REF!,2,FALSE),"")</f>
        <v/>
      </c>
    </row>
    <row r="118" spans="1:8" ht="15.75" thickBot="1" x14ac:dyDescent="0.3">
      <c r="A118" s="4" t="s">
        <v>138</v>
      </c>
      <c r="B118" s="6">
        <v>405</v>
      </c>
      <c r="C118" s="6" t="s">
        <v>36</v>
      </c>
      <c r="D118" s="7">
        <v>117</v>
      </c>
      <c r="E118" s="7" t="e">
        <f t="shared" si="2"/>
        <v>#REF!</v>
      </c>
      <c r="G118" s="7" t="str">
        <f t="shared" si="3"/>
        <v/>
      </c>
      <c r="H118" s="7" t="str">
        <f>IFERROR(VLOOKUP(G118,#REF!,2,FALSE),"")</f>
        <v/>
      </c>
    </row>
    <row r="119" spans="1:8" ht="15.75" thickBot="1" x14ac:dyDescent="0.3">
      <c r="A119" s="4" t="s">
        <v>137</v>
      </c>
      <c r="B119" s="6">
        <v>410</v>
      </c>
      <c r="C119" s="6" t="s">
        <v>30</v>
      </c>
      <c r="D119" s="7">
        <v>118</v>
      </c>
      <c r="E119" s="7" t="e">
        <f t="shared" si="2"/>
        <v>#REF!</v>
      </c>
      <c r="G119" s="7" t="str">
        <f t="shared" si="3"/>
        <v/>
      </c>
      <c r="H119" s="7" t="str">
        <f>IFERROR(VLOOKUP(G119,#REF!,2,FALSE),"")</f>
        <v/>
      </c>
    </row>
    <row r="120" spans="1:8" ht="15.75" thickBot="1" x14ac:dyDescent="0.3">
      <c r="A120" s="4" t="s">
        <v>138</v>
      </c>
      <c r="B120" s="6">
        <v>410</v>
      </c>
      <c r="C120" s="6" t="s">
        <v>30</v>
      </c>
      <c r="D120" s="7">
        <v>119</v>
      </c>
      <c r="E120" s="7" t="e">
        <f t="shared" si="2"/>
        <v>#REF!</v>
      </c>
      <c r="G120" s="7" t="str">
        <f t="shared" si="3"/>
        <v/>
      </c>
      <c r="H120" s="7" t="str">
        <f>IFERROR(VLOOKUP(G120,#REF!,2,FALSE),"")</f>
        <v/>
      </c>
    </row>
    <row r="121" spans="1:8" ht="15.75" thickBot="1" x14ac:dyDescent="0.3">
      <c r="A121" s="4" t="s">
        <v>137</v>
      </c>
      <c r="B121" s="6">
        <v>420</v>
      </c>
      <c r="C121" s="6" t="s">
        <v>21</v>
      </c>
      <c r="D121" s="7">
        <v>120</v>
      </c>
      <c r="E121" s="7" t="e">
        <f t="shared" si="2"/>
        <v>#REF!</v>
      </c>
      <c r="G121" s="7" t="str">
        <f t="shared" si="3"/>
        <v/>
      </c>
      <c r="H121" s="7" t="str">
        <f>IFERROR(VLOOKUP(G121,#REF!,2,FALSE),"")</f>
        <v/>
      </c>
    </row>
    <row r="122" spans="1:8" ht="15.75" thickBot="1" x14ac:dyDescent="0.3">
      <c r="A122" s="4" t="s">
        <v>138</v>
      </c>
      <c r="B122" s="6">
        <v>420</v>
      </c>
      <c r="C122" s="6" t="s">
        <v>21</v>
      </c>
      <c r="D122" s="7">
        <v>121</v>
      </c>
      <c r="E122" s="7" t="e">
        <f t="shared" si="2"/>
        <v>#REF!</v>
      </c>
      <c r="G122" s="7" t="str">
        <f t="shared" si="3"/>
        <v/>
      </c>
      <c r="H122" s="7" t="str">
        <f>IFERROR(VLOOKUP(G122,#REF!,2,FALSE),"")</f>
        <v/>
      </c>
    </row>
    <row r="123" spans="1:8" ht="15.75" thickBot="1" x14ac:dyDescent="0.3">
      <c r="A123" s="4" t="s">
        <v>137</v>
      </c>
      <c r="B123" s="6">
        <v>428</v>
      </c>
      <c r="C123" s="6" t="s">
        <v>29</v>
      </c>
      <c r="D123" s="7">
        <v>122</v>
      </c>
      <c r="E123" s="7" t="e">
        <f t="shared" si="2"/>
        <v>#REF!</v>
      </c>
      <c r="G123" s="7" t="str">
        <f t="shared" si="3"/>
        <v/>
      </c>
      <c r="H123" s="7" t="str">
        <f>IFERROR(VLOOKUP(G123,#REF!,2,FALSE),"")</f>
        <v/>
      </c>
    </row>
    <row r="124" spans="1:8" ht="15.75" thickBot="1" x14ac:dyDescent="0.3">
      <c r="A124" s="4" t="s">
        <v>138</v>
      </c>
      <c r="B124" s="6">
        <v>428</v>
      </c>
      <c r="C124" s="6" t="s">
        <v>29</v>
      </c>
      <c r="D124" s="7">
        <v>123</v>
      </c>
      <c r="E124" s="7" t="e">
        <f t="shared" si="2"/>
        <v>#REF!</v>
      </c>
      <c r="G124" s="7" t="str">
        <f t="shared" si="3"/>
        <v/>
      </c>
      <c r="H124" s="7" t="str">
        <f>IFERROR(VLOOKUP(G124,#REF!,2,FALSE),"")</f>
        <v/>
      </c>
    </row>
    <row r="125" spans="1:8" ht="15.75" thickBot="1" x14ac:dyDescent="0.3">
      <c r="A125" s="4" t="s">
        <v>137</v>
      </c>
      <c r="B125" s="6">
        <v>435</v>
      </c>
      <c r="C125" s="6" t="s">
        <v>39</v>
      </c>
      <c r="D125" s="7">
        <v>124</v>
      </c>
      <c r="E125" s="7" t="e">
        <f t="shared" si="2"/>
        <v>#REF!</v>
      </c>
      <c r="G125" s="7" t="str">
        <f t="shared" si="3"/>
        <v/>
      </c>
      <c r="H125" s="7" t="str">
        <f>IFERROR(VLOOKUP(G125,#REF!,2,FALSE),"")</f>
        <v/>
      </c>
    </row>
    <row r="126" spans="1:8" ht="15.75" thickBot="1" x14ac:dyDescent="0.3">
      <c r="A126" s="4" t="s">
        <v>138</v>
      </c>
      <c r="B126" s="6">
        <v>435</v>
      </c>
      <c r="C126" s="6" t="s">
        <v>39</v>
      </c>
      <c r="D126" s="7">
        <v>125</v>
      </c>
      <c r="E126" s="7" t="e">
        <f t="shared" si="2"/>
        <v>#REF!</v>
      </c>
      <c r="G126" s="7" t="str">
        <f t="shared" si="3"/>
        <v/>
      </c>
      <c r="H126" s="7" t="str">
        <f>IFERROR(VLOOKUP(G126,#REF!,2,FALSE),"")</f>
        <v/>
      </c>
    </row>
    <row r="127" spans="1:8" ht="15.75" thickBot="1" x14ac:dyDescent="0.3">
      <c r="A127" s="4" t="s">
        <v>137</v>
      </c>
      <c r="B127" s="6">
        <v>440</v>
      </c>
      <c r="C127" s="6" t="s">
        <v>65</v>
      </c>
      <c r="D127" s="7">
        <v>126</v>
      </c>
      <c r="E127" s="7" t="e">
        <f t="shared" si="2"/>
        <v>#REF!</v>
      </c>
      <c r="G127" s="7" t="str">
        <f t="shared" si="3"/>
        <v/>
      </c>
      <c r="H127" s="7" t="str">
        <f>IFERROR(VLOOKUP(G127,#REF!,2,FALSE),"")</f>
        <v/>
      </c>
    </row>
    <row r="128" spans="1:8" ht="15.75" thickBot="1" x14ac:dyDescent="0.3">
      <c r="A128" s="4" t="s">
        <v>138</v>
      </c>
      <c r="B128" s="6">
        <v>440</v>
      </c>
      <c r="C128" s="6" t="s">
        <v>65</v>
      </c>
      <c r="D128" s="7">
        <v>127</v>
      </c>
      <c r="E128" s="7" t="e">
        <f t="shared" si="2"/>
        <v>#REF!</v>
      </c>
      <c r="G128" s="7" t="str">
        <f t="shared" si="3"/>
        <v/>
      </c>
      <c r="H128" s="7" t="str">
        <f>IFERROR(VLOOKUP(G128,#REF!,2,FALSE),"")</f>
        <v/>
      </c>
    </row>
    <row r="129" spans="1:8" ht="15.75" thickBot="1" x14ac:dyDescent="0.3">
      <c r="A129" s="4" t="s">
        <v>137</v>
      </c>
      <c r="B129" s="6">
        <v>445</v>
      </c>
      <c r="C129" s="6" t="s">
        <v>28</v>
      </c>
      <c r="D129" s="7">
        <v>128</v>
      </c>
      <c r="E129" s="7" t="e">
        <f t="shared" si="2"/>
        <v>#REF!</v>
      </c>
      <c r="G129" s="7" t="str">
        <f t="shared" si="3"/>
        <v/>
      </c>
      <c r="H129" s="7" t="str">
        <f>IFERROR(VLOOKUP(G129,#REF!,2,FALSE),"")</f>
        <v/>
      </c>
    </row>
    <row r="130" spans="1:8" ht="15.75" thickBot="1" x14ac:dyDescent="0.3">
      <c r="A130" s="4" t="s">
        <v>138</v>
      </c>
      <c r="B130" s="6">
        <v>445</v>
      </c>
      <c r="C130" s="6" t="s">
        <v>28</v>
      </c>
      <c r="D130" s="7">
        <v>129</v>
      </c>
      <c r="E130" s="7" t="e">
        <f t="shared" si="2"/>
        <v>#REF!</v>
      </c>
      <c r="G130" s="7" t="str">
        <f t="shared" si="3"/>
        <v/>
      </c>
      <c r="H130" s="7" t="str">
        <f>IFERROR(VLOOKUP(G130,#REF!,2,FALSE),"")</f>
        <v/>
      </c>
    </row>
    <row r="131" spans="1:8" ht="15.75" thickBot="1" x14ac:dyDescent="0.3">
      <c r="A131" s="4" t="s">
        <v>137</v>
      </c>
      <c r="B131" s="6">
        <v>450</v>
      </c>
      <c r="C131" s="6" t="s">
        <v>66</v>
      </c>
      <c r="D131" s="7">
        <v>130</v>
      </c>
      <c r="E131" s="7" t="e">
        <f t="shared" ref="E131:E194" si="4">IF(A131=$F$2,B131,"")</f>
        <v>#REF!</v>
      </c>
      <c r="G131" s="7" t="str">
        <f t="shared" ref="G131:G194" si="5">IFERROR(SMALL($E$2:$E$250,D131),"")</f>
        <v/>
      </c>
      <c r="H131" s="7" t="str">
        <f>IFERROR(VLOOKUP(G131,#REF!,2,FALSE),"")</f>
        <v/>
      </c>
    </row>
    <row r="132" spans="1:8" ht="15.75" thickBot="1" x14ac:dyDescent="0.3">
      <c r="A132" s="4" t="s">
        <v>138</v>
      </c>
      <c r="B132" s="6">
        <v>450</v>
      </c>
      <c r="C132" s="6" t="s">
        <v>66</v>
      </c>
      <c r="D132" s="7">
        <v>131</v>
      </c>
      <c r="E132" s="7" t="e">
        <f t="shared" si="4"/>
        <v>#REF!</v>
      </c>
      <c r="G132" s="7" t="str">
        <f t="shared" si="5"/>
        <v/>
      </c>
      <c r="H132" s="7" t="str">
        <f>IFERROR(VLOOKUP(G132,#REF!,2,FALSE),"")</f>
        <v/>
      </c>
    </row>
    <row r="133" spans="1:8" ht="15.75" thickBot="1" x14ac:dyDescent="0.3">
      <c r="A133" s="4" t="s">
        <v>137</v>
      </c>
      <c r="B133" s="6">
        <v>452</v>
      </c>
      <c r="C133" s="6" t="s">
        <v>13</v>
      </c>
      <c r="D133" s="7">
        <v>132</v>
      </c>
      <c r="E133" s="7" t="e">
        <f t="shared" si="4"/>
        <v>#REF!</v>
      </c>
      <c r="G133" s="7" t="str">
        <f t="shared" si="5"/>
        <v/>
      </c>
      <c r="H133" s="7" t="str">
        <f>IFERROR(VLOOKUP(G133,#REF!,2,FALSE),"")</f>
        <v/>
      </c>
    </row>
    <row r="134" spans="1:8" ht="15.75" thickBot="1" x14ac:dyDescent="0.3">
      <c r="A134" s="4" t="s">
        <v>138</v>
      </c>
      <c r="B134" s="6">
        <v>452</v>
      </c>
      <c r="C134" s="6" t="s">
        <v>13</v>
      </c>
      <c r="D134" s="7">
        <v>133</v>
      </c>
      <c r="E134" s="7" t="e">
        <f t="shared" si="4"/>
        <v>#REF!</v>
      </c>
      <c r="G134" s="7" t="str">
        <f t="shared" si="5"/>
        <v/>
      </c>
      <c r="H134" s="7" t="str">
        <f>IFERROR(VLOOKUP(G134,#REF!,2,FALSE),"")</f>
        <v/>
      </c>
    </row>
    <row r="135" spans="1:8" ht="15.75" thickBot="1" x14ac:dyDescent="0.3">
      <c r="A135" s="4" t="s">
        <v>137</v>
      </c>
      <c r="B135" s="6">
        <v>460</v>
      </c>
      <c r="C135" s="6" t="s">
        <v>70</v>
      </c>
      <c r="D135" s="7">
        <v>134</v>
      </c>
      <c r="E135" s="7" t="e">
        <f t="shared" si="4"/>
        <v>#REF!</v>
      </c>
      <c r="G135" s="7" t="str">
        <f t="shared" si="5"/>
        <v/>
      </c>
      <c r="H135" s="7" t="str">
        <f>IFERROR(VLOOKUP(G135,#REF!,2,FALSE),"")</f>
        <v/>
      </c>
    </row>
    <row r="136" spans="1:8" ht="15.75" thickBot="1" x14ac:dyDescent="0.3">
      <c r="A136" s="4" t="s">
        <v>138</v>
      </c>
      <c r="B136" s="6">
        <v>460</v>
      </c>
      <c r="C136" s="6" t="s">
        <v>70</v>
      </c>
      <c r="D136" s="7">
        <v>135</v>
      </c>
      <c r="E136" s="7" t="e">
        <f t="shared" si="4"/>
        <v>#REF!</v>
      </c>
      <c r="G136" s="7" t="str">
        <f t="shared" si="5"/>
        <v/>
      </c>
      <c r="H136" s="7" t="str">
        <f>IFERROR(VLOOKUP(G136,#REF!,2,FALSE),"")</f>
        <v/>
      </c>
    </row>
    <row r="137" spans="1:8" ht="15.75" thickBot="1" x14ac:dyDescent="0.3">
      <c r="A137" s="4" t="s">
        <v>137</v>
      </c>
      <c r="B137" s="6">
        <v>461</v>
      </c>
      <c r="C137" s="6" t="s">
        <v>79</v>
      </c>
      <c r="D137" s="7">
        <v>136</v>
      </c>
      <c r="E137" s="7" t="e">
        <f t="shared" si="4"/>
        <v>#REF!</v>
      </c>
      <c r="G137" s="7" t="str">
        <f t="shared" si="5"/>
        <v/>
      </c>
      <c r="H137" s="7" t="str">
        <f>IFERROR(VLOOKUP(G137,#REF!,2,FALSE),"")</f>
        <v/>
      </c>
    </row>
    <row r="138" spans="1:8" ht="15.75" thickBot="1" x14ac:dyDescent="0.3">
      <c r="A138" s="4" t="s">
        <v>138</v>
      </c>
      <c r="B138" s="6">
        <v>461</v>
      </c>
      <c r="C138" s="6" t="s">
        <v>79</v>
      </c>
      <c r="D138" s="7">
        <v>137</v>
      </c>
      <c r="E138" s="7" t="e">
        <f t="shared" si="4"/>
        <v>#REF!</v>
      </c>
      <c r="G138" s="7" t="str">
        <f t="shared" si="5"/>
        <v/>
      </c>
      <c r="H138" s="7" t="str">
        <f>IFERROR(VLOOKUP(G138,#REF!,2,FALSE),"")</f>
        <v/>
      </c>
    </row>
    <row r="139" spans="1:8" ht="15.75" thickBot="1" x14ac:dyDescent="0.3">
      <c r="A139" s="4" t="s">
        <v>137</v>
      </c>
      <c r="B139" s="6">
        <v>463</v>
      </c>
      <c r="C139" s="6" t="s">
        <v>80</v>
      </c>
      <c r="D139" s="7">
        <v>138</v>
      </c>
      <c r="E139" s="7" t="e">
        <f t="shared" si="4"/>
        <v>#REF!</v>
      </c>
      <c r="G139" s="7" t="str">
        <f t="shared" si="5"/>
        <v/>
      </c>
      <c r="H139" s="7" t="str">
        <f>IFERROR(VLOOKUP(G139,#REF!,2,FALSE),"")</f>
        <v/>
      </c>
    </row>
    <row r="140" spans="1:8" ht="15.75" thickBot="1" x14ac:dyDescent="0.3">
      <c r="A140" s="4" t="s">
        <v>138</v>
      </c>
      <c r="B140" s="6">
        <v>463</v>
      </c>
      <c r="C140" s="6" t="s">
        <v>80</v>
      </c>
      <c r="D140" s="7">
        <v>139</v>
      </c>
      <c r="E140" s="7" t="e">
        <f t="shared" si="4"/>
        <v>#REF!</v>
      </c>
      <c r="G140" s="7" t="str">
        <f t="shared" si="5"/>
        <v/>
      </c>
      <c r="H140" s="7" t="str">
        <f>IFERROR(VLOOKUP(G140,#REF!,2,FALSE),"")</f>
        <v/>
      </c>
    </row>
    <row r="141" spans="1:8" ht="15.75" thickBot="1" x14ac:dyDescent="0.3">
      <c r="A141" s="4" t="s">
        <v>137</v>
      </c>
      <c r="B141" s="6">
        <v>465</v>
      </c>
      <c r="C141" s="6" t="s">
        <v>45</v>
      </c>
      <c r="D141" s="7">
        <v>140</v>
      </c>
      <c r="E141" s="7" t="e">
        <f t="shared" si="4"/>
        <v>#REF!</v>
      </c>
      <c r="G141" s="7" t="str">
        <f t="shared" si="5"/>
        <v/>
      </c>
      <c r="H141" s="7" t="str">
        <f>IFERROR(VLOOKUP(G141,#REF!,2,FALSE),"")</f>
        <v/>
      </c>
    </row>
    <row r="142" spans="1:8" ht="15.75" thickBot="1" x14ac:dyDescent="0.3">
      <c r="A142" s="4" t="s">
        <v>138</v>
      </c>
      <c r="B142" s="6">
        <v>465</v>
      </c>
      <c r="C142" s="6" t="s">
        <v>45</v>
      </c>
      <c r="D142" s="7">
        <v>141</v>
      </c>
      <c r="E142" s="7" t="e">
        <f t="shared" si="4"/>
        <v>#REF!</v>
      </c>
      <c r="G142" s="7" t="str">
        <f t="shared" si="5"/>
        <v/>
      </c>
      <c r="H142" s="7" t="str">
        <f>IFERROR(VLOOKUP(G142,#REF!,2,FALSE),"")</f>
        <v/>
      </c>
    </row>
    <row r="143" spans="1:8" ht="15.75" thickBot="1" x14ac:dyDescent="0.3">
      <c r="A143" s="4" t="s">
        <v>137</v>
      </c>
      <c r="B143" s="6">
        <v>475</v>
      </c>
      <c r="C143" s="6" t="s">
        <v>48</v>
      </c>
      <c r="D143" s="7">
        <v>142</v>
      </c>
      <c r="E143" s="7" t="e">
        <f t="shared" si="4"/>
        <v>#REF!</v>
      </c>
      <c r="G143" s="7" t="str">
        <f t="shared" si="5"/>
        <v/>
      </c>
      <c r="H143" s="7" t="str">
        <f>IFERROR(VLOOKUP(G143,#REF!,2,FALSE),"")</f>
        <v/>
      </c>
    </row>
    <row r="144" spans="1:8" ht="15.75" thickBot="1" x14ac:dyDescent="0.3">
      <c r="A144" s="4" t="s">
        <v>138</v>
      </c>
      <c r="B144" s="6">
        <v>475</v>
      </c>
      <c r="C144" s="6" t="s">
        <v>48</v>
      </c>
      <c r="D144" s="7">
        <v>143</v>
      </c>
      <c r="E144" s="7" t="e">
        <f t="shared" si="4"/>
        <v>#REF!</v>
      </c>
      <c r="G144" s="7" t="str">
        <f t="shared" si="5"/>
        <v/>
      </c>
      <c r="H144" s="7" t="str">
        <f>IFERROR(VLOOKUP(G144,#REF!,2,FALSE),"")</f>
        <v/>
      </c>
    </row>
    <row r="145" spans="1:8" ht="15.75" thickBot="1" x14ac:dyDescent="0.3">
      <c r="A145" s="4" t="s">
        <v>137</v>
      </c>
      <c r="B145" s="6">
        <v>480</v>
      </c>
      <c r="C145" s="6" t="s">
        <v>64</v>
      </c>
      <c r="D145" s="7">
        <v>144</v>
      </c>
      <c r="E145" s="7" t="e">
        <f t="shared" si="4"/>
        <v>#REF!</v>
      </c>
      <c r="G145" s="7" t="str">
        <f t="shared" si="5"/>
        <v/>
      </c>
      <c r="H145" s="7" t="str">
        <f>IFERROR(VLOOKUP(G145,#REF!,2,FALSE),"")</f>
        <v/>
      </c>
    </row>
    <row r="146" spans="1:8" ht="15.75" thickBot="1" x14ac:dyDescent="0.3">
      <c r="A146" s="4" t="s">
        <v>138</v>
      </c>
      <c r="B146" s="6">
        <v>480</v>
      </c>
      <c r="C146" s="6" t="s">
        <v>64</v>
      </c>
      <c r="D146" s="7">
        <v>145</v>
      </c>
      <c r="E146" s="7" t="e">
        <f t="shared" si="4"/>
        <v>#REF!</v>
      </c>
      <c r="G146" s="7" t="str">
        <f t="shared" si="5"/>
        <v/>
      </c>
      <c r="H146" s="7" t="str">
        <f>IFERROR(VLOOKUP(G146,#REF!,2,FALSE),"")</f>
        <v/>
      </c>
    </row>
    <row r="147" spans="1:8" ht="15.75" thickBot="1" x14ac:dyDescent="0.3">
      <c r="A147" s="4" t="s">
        <v>137</v>
      </c>
      <c r="B147" s="6">
        <v>495</v>
      </c>
      <c r="C147" s="6" t="s">
        <v>131</v>
      </c>
      <c r="D147" s="7">
        <v>146</v>
      </c>
      <c r="E147" s="7" t="e">
        <f t="shared" si="4"/>
        <v>#REF!</v>
      </c>
      <c r="G147" s="7" t="str">
        <f t="shared" si="5"/>
        <v/>
      </c>
      <c r="H147" s="7" t="str">
        <f>IFERROR(VLOOKUP(G147,#REF!,2,FALSE),"")</f>
        <v/>
      </c>
    </row>
    <row r="148" spans="1:8" ht="15.75" thickBot="1" x14ac:dyDescent="0.3">
      <c r="A148" s="4" t="s">
        <v>138</v>
      </c>
      <c r="B148" s="6">
        <v>495</v>
      </c>
      <c r="C148" s="6" t="s">
        <v>131</v>
      </c>
      <c r="D148" s="7">
        <v>147</v>
      </c>
      <c r="E148" s="7" t="e">
        <f t="shared" si="4"/>
        <v>#REF!</v>
      </c>
      <c r="G148" s="7" t="str">
        <f t="shared" si="5"/>
        <v/>
      </c>
      <c r="H148" s="7" t="str">
        <f>IFERROR(VLOOKUP(G148,#REF!,2,FALSE),"")</f>
        <v/>
      </c>
    </row>
    <row r="149" spans="1:8" ht="15.75" thickBot="1" x14ac:dyDescent="0.3">
      <c r="A149" s="4" t="s">
        <v>137</v>
      </c>
      <c r="B149" s="6">
        <v>505</v>
      </c>
      <c r="C149" s="6" t="s">
        <v>74</v>
      </c>
      <c r="D149" s="7">
        <v>148</v>
      </c>
      <c r="E149" s="7" t="e">
        <f t="shared" si="4"/>
        <v>#REF!</v>
      </c>
      <c r="G149" s="7" t="str">
        <f t="shared" si="5"/>
        <v/>
      </c>
      <c r="H149" s="7" t="str">
        <f>IFERROR(VLOOKUP(G149,#REF!,2,FALSE),"")</f>
        <v/>
      </c>
    </row>
    <row r="150" spans="1:8" ht="15.75" thickBot="1" x14ac:dyDescent="0.3">
      <c r="A150" s="4" t="s">
        <v>138</v>
      </c>
      <c r="B150" s="6">
        <v>505</v>
      </c>
      <c r="C150" s="6" t="s">
        <v>74</v>
      </c>
      <c r="D150" s="7">
        <v>149</v>
      </c>
      <c r="E150" s="7" t="e">
        <f t="shared" si="4"/>
        <v>#REF!</v>
      </c>
      <c r="G150" s="7" t="str">
        <f t="shared" si="5"/>
        <v/>
      </c>
      <c r="H150" s="7" t="str">
        <f>IFERROR(VLOOKUP(G150,#REF!,2,FALSE),"")</f>
        <v/>
      </c>
    </row>
    <row r="151" spans="1:8" ht="15.75" thickBot="1" x14ac:dyDescent="0.3">
      <c r="A151" s="4" t="s">
        <v>137</v>
      </c>
      <c r="B151" s="6">
        <v>510</v>
      </c>
      <c r="C151" s="6" t="s">
        <v>87</v>
      </c>
      <c r="D151" s="7">
        <v>150</v>
      </c>
      <c r="E151" s="7" t="e">
        <f t="shared" si="4"/>
        <v>#REF!</v>
      </c>
      <c r="G151" s="7" t="str">
        <f t="shared" si="5"/>
        <v/>
      </c>
      <c r="H151" s="7" t="str">
        <f>IFERROR(VLOOKUP(G151,#REF!,2,FALSE),"")</f>
        <v/>
      </c>
    </row>
    <row r="152" spans="1:8" ht="15.75" thickBot="1" x14ac:dyDescent="0.3">
      <c r="A152" s="4" t="s">
        <v>138</v>
      </c>
      <c r="B152" s="6">
        <v>510</v>
      </c>
      <c r="C152" s="6" t="s">
        <v>87</v>
      </c>
      <c r="D152" s="7">
        <v>151</v>
      </c>
      <c r="E152" s="7" t="e">
        <f t="shared" si="4"/>
        <v>#REF!</v>
      </c>
      <c r="G152" s="7" t="str">
        <f t="shared" si="5"/>
        <v/>
      </c>
      <c r="H152" s="7" t="str">
        <f>IFERROR(VLOOKUP(G152,#REF!,2,FALSE),"")</f>
        <v/>
      </c>
    </row>
    <row r="153" spans="1:8" ht="15.75" thickBot="1" x14ac:dyDescent="0.3">
      <c r="A153" s="4" t="s">
        <v>137</v>
      </c>
      <c r="B153" s="6">
        <v>515</v>
      </c>
      <c r="C153" s="6" t="s">
        <v>41</v>
      </c>
      <c r="D153" s="7">
        <v>152</v>
      </c>
      <c r="E153" s="7" t="e">
        <f t="shared" si="4"/>
        <v>#REF!</v>
      </c>
      <c r="G153" s="7" t="str">
        <f t="shared" si="5"/>
        <v/>
      </c>
      <c r="H153" s="7" t="str">
        <f>IFERROR(VLOOKUP(G153,#REF!,2,FALSE),"")</f>
        <v/>
      </c>
    </row>
    <row r="154" spans="1:8" ht="15.75" thickBot="1" x14ac:dyDescent="0.3">
      <c r="A154" s="4" t="s">
        <v>138</v>
      </c>
      <c r="B154" s="6">
        <v>515</v>
      </c>
      <c r="C154" s="6" t="s">
        <v>41</v>
      </c>
      <c r="D154" s="7">
        <v>153</v>
      </c>
      <c r="E154" s="7" t="e">
        <f t="shared" si="4"/>
        <v>#REF!</v>
      </c>
      <c r="G154" s="7" t="str">
        <f t="shared" si="5"/>
        <v/>
      </c>
      <c r="H154" s="7" t="str">
        <f>IFERROR(VLOOKUP(G154,#REF!,2,FALSE),"")</f>
        <v/>
      </c>
    </row>
    <row r="155" spans="1:8" ht="15.75" thickBot="1" x14ac:dyDescent="0.3">
      <c r="A155" s="4" t="s">
        <v>137</v>
      </c>
      <c r="B155" s="6">
        <v>535</v>
      </c>
      <c r="C155" s="6" t="s">
        <v>16</v>
      </c>
      <c r="D155" s="7">
        <v>154</v>
      </c>
      <c r="E155" s="7" t="e">
        <f t="shared" si="4"/>
        <v>#REF!</v>
      </c>
      <c r="G155" s="7" t="str">
        <f t="shared" si="5"/>
        <v/>
      </c>
      <c r="H155" s="7" t="str">
        <f>IFERROR(VLOOKUP(G155,#REF!,2,FALSE),"")</f>
        <v/>
      </c>
    </row>
    <row r="156" spans="1:8" ht="15.75" thickBot="1" x14ac:dyDescent="0.3">
      <c r="A156" s="4" t="s">
        <v>138</v>
      </c>
      <c r="B156" s="6">
        <v>535</v>
      </c>
      <c r="C156" s="6" t="s">
        <v>16</v>
      </c>
      <c r="D156" s="7">
        <v>155</v>
      </c>
      <c r="E156" s="7" t="e">
        <f t="shared" si="4"/>
        <v>#REF!</v>
      </c>
      <c r="G156" s="7" t="str">
        <f t="shared" si="5"/>
        <v/>
      </c>
      <c r="H156" s="7" t="str">
        <f>IFERROR(VLOOKUP(G156,#REF!,2,FALSE),"")</f>
        <v/>
      </c>
    </row>
    <row r="157" spans="1:8" ht="15.75" thickBot="1" x14ac:dyDescent="0.3">
      <c r="A157" s="4" t="s">
        <v>137</v>
      </c>
      <c r="B157" s="6">
        <v>540</v>
      </c>
      <c r="C157" s="6" t="s">
        <v>49</v>
      </c>
      <c r="D157" s="7">
        <v>156</v>
      </c>
      <c r="E157" s="7" t="e">
        <f t="shared" si="4"/>
        <v>#REF!</v>
      </c>
      <c r="G157" s="7" t="str">
        <f t="shared" si="5"/>
        <v/>
      </c>
      <c r="H157" s="7" t="str">
        <f>IFERROR(VLOOKUP(G157,#REF!,2,FALSE),"")</f>
        <v/>
      </c>
    </row>
    <row r="158" spans="1:8" ht="15.75" thickBot="1" x14ac:dyDescent="0.3">
      <c r="A158" s="4" t="s">
        <v>138</v>
      </c>
      <c r="B158" s="6">
        <v>540</v>
      </c>
      <c r="C158" s="6" t="s">
        <v>49</v>
      </c>
      <c r="D158" s="7">
        <v>157</v>
      </c>
      <c r="E158" s="7" t="e">
        <f t="shared" si="4"/>
        <v>#REF!</v>
      </c>
      <c r="G158" s="7" t="str">
        <f t="shared" si="5"/>
        <v/>
      </c>
      <c r="H158" s="7" t="str">
        <f>IFERROR(VLOOKUP(G158,#REF!,2,FALSE),"")</f>
        <v/>
      </c>
    </row>
    <row r="159" spans="1:8" ht="15.75" thickBot="1" x14ac:dyDescent="0.3">
      <c r="A159" s="4" t="s">
        <v>137</v>
      </c>
      <c r="B159" s="6">
        <v>548</v>
      </c>
      <c r="C159" s="6" t="s">
        <v>57</v>
      </c>
      <c r="D159" s="7">
        <v>158</v>
      </c>
      <c r="E159" s="7" t="e">
        <f t="shared" si="4"/>
        <v>#REF!</v>
      </c>
      <c r="G159" s="7" t="str">
        <f t="shared" si="5"/>
        <v/>
      </c>
      <c r="H159" s="7" t="str">
        <f>IFERROR(VLOOKUP(G159,#REF!,2,FALSE),"")</f>
        <v/>
      </c>
    </row>
    <row r="160" spans="1:8" ht="15.75" thickBot="1" x14ac:dyDescent="0.3">
      <c r="A160" s="4" t="s">
        <v>138</v>
      </c>
      <c r="B160" s="6">
        <v>548</v>
      </c>
      <c r="C160" s="6" t="s">
        <v>57</v>
      </c>
      <c r="D160" s="7">
        <v>159</v>
      </c>
      <c r="E160" s="7" t="e">
        <f t="shared" si="4"/>
        <v>#REF!</v>
      </c>
      <c r="G160" s="7" t="str">
        <f t="shared" si="5"/>
        <v/>
      </c>
      <c r="H160" s="7" t="str">
        <f>IFERROR(VLOOKUP(G160,#REF!,2,FALSE),"")</f>
        <v/>
      </c>
    </row>
    <row r="161" spans="1:8" ht="15.75" thickBot="1" x14ac:dyDescent="0.3">
      <c r="A161" s="4" t="s">
        <v>137</v>
      </c>
      <c r="B161" s="6">
        <v>550</v>
      </c>
      <c r="C161" s="6" t="s">
        <v>58</v>
      </c>
      <c r="D161" s="7">
        <v>160</v>
      </c>
      <c r="E161" s="7" t="e">
        <f t="shared" si="4"/>
        <v>#REF!</v>
      </c>
      <c r="G161" s="7" t="str">
        <f t="shared" si="5"/>
        <v/>
      </c>
      <c r="H161" s="7" t="str">
        <f>IFERROR(VLOOKUP(G161,#REF!,2,FALSE),"")</f>
        <v/>
      </c>
    </row>
    <row r="162" spans="1:8" ht="15.75" thickBot="1" x14ac:dyDescent="0.3">
      <c r="A162" s="4" t="s">
        <v>138</v>
      </c>
      <c r="B162" s="6">
        <v>550</v>
      </c>
      <c r="C162" s="6" t="s">
        <v>58</v>
      </c>
      <c r="D162" s="7">
        <v>161</v>
      </c>
      <c r="E162" s="7" t="e">
        <f t="shared" si="4"/>
        <v>#REF!</v>
      </c>
      <c r="G162" s="7" t="str">
        <f t="shared" si="5"/>
        <v/>
      </c>
      <c r="H162" s="7" t="str">
        <f>IFERROR(VLOOKUP(G162,#REF!,2,FALSE),"")</f>
        <v/>
      </c>
    </row>
    <row r="163" spans="1:8" ht="15.75" thickBot="1" x14ac:dyDescent="0.3">
      <c r="A163" s="4" t="s">
        <v>137</v>
      </c>
      <c r="B163" s="6">
        <v>555</v>
      </c>
      <c r="C163" s="6" t="s">
        <v>61</v>
      </c>
      <c r="D163" s="7">
        <v>162</v>
      </c>
      <c r="E163" s="7" t="e">
        <f t="shared" si="4"/>
        <v>#REF!</v>
      </c>
      <c r="G163" s="7" t="str">
        <f t="shared" si="5"/>
        <v/>
      </c>
      <c r="H163" s="7" t="str">
        <f>IFERROR(VLOOKUP(G163,#REF!,2,FALSE),"")</f>
        <v/>
      </c>
    </row>
    <row r="164" spans="1:8" ht="15.75" thickBot="1" x14ac:dyDescent="0.3">
      <c r="A164" s="4" t="s">
        <v>138</v>
      </c>
      <c r="B164" s="6">
        <v>555</v>
      </c>
      <c r="C164" s="6" t="s">
        <v>61</v>
      </c>
      <c r="D164" s="7">
        <v>163</v>
      </c>
      <c r="E164" s="7" t="e">
        <f t="shared" si="4"/>
        <v>#REF!</v>
      </c>
      <c r="G164" s="7" t="str">
        <f t="shared" si="5"/>
        <v/>
      </c>
      <c r="H164" s="7" t="str">
        <f>IFERROR(VLOOKUP(G164,#REF!,2,FALSE),"")</f>
        <v/>
      </c>
    </row>
    <row r="165" spans="1:8" ht="15.75" thickBot="1" x14ac:dyDescent="0.3">
      <c r="A165" s="4" t="s">
        <v>137</v>
      </c>
      <c r="B165" s="6">
        <v>565</v>
      </c>
      <c r="C165" s="6" t="s">
        <v>34</v>
      </c>
      <c r="D165" s="7">
        <v>164</v>
      </c>
      <c r="E165" s="7" t="e">
        <f t="shared" si="4"/>
        <v>#REF!</v>
      </c>
      <c r="G165" s="7" t="str">
        <f t="shared" si="5"/>
        <v/>
      </c>
      <c r="H165" s="7" t="str">
        <f>IFERROR(VLOOKUP(G165,#REF!,2,FALSE),"")</f>
        <v/>
      </c>
    </row>
    <row r="166" spans="1:8" ht="15.75" thickBot="1" x14ac:dyDescent="0.3">
      <c r="A166" s="4" t="s">
        <v>138</v>
      </c>
      <c r="B166" s="6">
        <v>565</v>
      </c>
      <c r="C166" s="6" t="s">
        <v>34</v>
      </c>
      <c r="D166" s="7">
        <v>165</v>
      </c>
      <c r="E166" s="7" t="e">
        <f t="shared" si="4"/>
        <v>#REF!</v>
      </c>
      <c r="G166" s="7" t="str">
        <f t="shared" si="5"/>
        <v/>
      </c>
      <c r="H166" s="7" t="str">
        <f>IFERROR(VLOOKUP(G166,#REF!,2,FALSE),"")</f>
        <v/>
      </c>
    </row>
    <row r="167" spans="1:8" ht="15.75" thickBot="1" x14ac:dyDescent="0.3">
      <c r="A167" s="4" t="s">
        <v>137</v>
      </c>
      <c r="B167" s="6">
        <v>580</v>
      </c>
      <c r="C167" s="6" t="s">
        <v>60</v>
      </c>
      <c r="D167" s="7">
        <v>166</v>
      </c>
      <c r="E167" s="7" t="e">
        <f t="shared" si="4"/>
        <v>#REF!</v>
      </c>
      <c r="G167" s="7" t="str">
        <f t="shared" si="5"/>
        <v/>
      </c>
      <c r="H167" s="7" t="str">
        <f>IFERROR(VLOOKUP(G167,#REF!,2,FALSE),"")</f>
        <v/>
      </c>
    </row>
    <row r="168" spans="1:8" ht="15.75" thickBot="1" x14ac:dyDescent="0.3">
      <c r="A168" s="4" t="s">
        <v>138</v>
      </c>
      <c r="B168" s="6">
        <v>580</v>
      </c>
      <c r="C168" s="6" t="s">
        <v>60</v>
      </c>
      <c r="D168" s="7">
        <v>167</v>
      </c>
      <c r="E168" s="7" t="e">
        <f t="shared" si="4"/>
        <v>#REF!</v>
      </c>
      <c r="G168" s="7" t="str">
        <f t="shared" si="5"/>
        <v/>
      </c>
      <c r="H168" s="7" t="str">
        <f>IFERROR(VLOOKUP(G168,#REF!,2,FALSE),"")</f>
        <v/>
      </c>
    </row>
    <row r="169" spans="1:8" ht="15.75" thickBot="1" x14ac:dyDescent="0.3">
      <c r="A169" s="4" t="s">
        <v>137</v>
      </c>
      <c r="B169" s="6">
        <v>593</v>
      </c>
      <c r="C169" s="6" t="s">
        <v>25</v>
      </c>
      <c r="D169" s="7">
        <v>168</v>
      </c>
      <c r="E169" s="7" t="e">
        <f t="shared" si="4"/>
        <v>#REF!</v>
      </c>
      <c r="G169" s="7" t="str">
        <f t="shared" si="5"/>
        <v/>
      </c>
      <c r="H169" s="7" t="str">
        <f>IFERROR(VLOOKUP(G169,#REF!,2,FALSE),"")</f>
        <v/>
      </c>
    </row>
    <row r="170" spans="1:8" ht="15.75" thickBot="1" x14ac:dyDescent="0.3">
      <c r="A170" s="4" t="s">
        <v>138</v>
      </c>
      <c r="B170" s="6">
        <v>593</v>
      </c>
      <c r="C170" s="6" t="s">
        <v>25</v>
      </c>
      <c r="D170" s="7">
        <v>169</v>
      </c>
      <c r="E170" s="7" t="e">
        <f t="shared" si="4"/>
        <v>#REF!</v>
      </c>
      <c r="G170" s="7" t="str">
        <f t="shared" si="5"/>
        <v/>
      </c>
      <c r="H170" s="7" t="str">
        <f>IFERROR(VLOOKUP(G170,#REF!,2,FALSE),"")</f>
        <v/>
      </c>
    </row>
    <row r="171" spans="1:8" ht="15.75" thickBot="1" x14ac:dyDescent="0.3">
      <c r="A171" s="4" t="s">
        <v>137</v>
      </c>
      <c r="B171" s="6">
        <v>595</v>
      </c>
      <c r="C171" s="6" t="s">
        <v>129</v>
      </c>
      <c r="D171" s="7">
        <v>170</v>
      </c>
      <c r="E171" s="7" t="e">
        <f t="shared" si="4"/>
        <v>#REF!</v>
      </c>
      <c r="G171" s="7" t="str">
        <f t="shared" si="5"/>
        <v/>
      </c>
      <c r="H171" s="7" t="str">
        <f>IFERROR(VLOOKUP(G171,#REF!,2,FALSE),"")</f>
        <v/>
      </c>
    </row>
    <row r="172" spans="1:8" ht="15.75" thickBot="1" x14ac:dyDescent="0.3">
      <c r="A172" s="4" t="s">
        <v>138</v>
      </c>
      <c r="B172" s="6">
        <v>595</v>
      </c>
      <c r="C172" s="6" t="s">
        <v>129</v>
      </c>
      <c r="D172" s="7">
        <v>171</v>
      </c>
      <c r="E172" s="7" t="e">
        <f t="shared" si="4"/>
        <v>#REF!</v>
      </c>
      <c r="G172" s="7" t="str">
        <f t="shared" si="5"/>
        <v/>
      </c>
      <c r="H172" s="7" t="str">
        <f>IFERROR(VLOOKUP(G172,#REF!,2,FALSE),"")</f>
        <v/>
      </c>
    </row>
    <row r="173" spans="1:8" ht="15.75" thickBot="1" x14ac:dyDescent="0.3">
      <c r="A173" s="4" t="s">
        <v>137</v>
      </c>
      <c r="B173" s="6">
        <v>600</v>
      </c>
      <c r="C173" s="6" t="s">
        <v>63</v>
      </c>
      <c r="D173" s="7">
        <v>172</v>
      </c>
      <c r="E173" s="7" t="e">
        <f t="shared" si="4"/>
        <v>#REF!</v>
      </c>
      <c r="G173" s="7" t="str">
        <f t="shared" si="5"/>
        <v/>
      </c>
      <c r="H173" s="7" t="str">
        <f>IFERROR(VLOOKUP(G173,#REF!,2,FALSE),"")</f>
        <v/>
      </c>
    </row>
    <row r="174" spans="1:8" ht="15.75" thickBot="1" x14ac:dyDescent="0.3">
      <c r="A174" s="4" t="s">
        <v>138</v>
      </c>
      <c r="B174" s="6">
        <v>600</v>
      </c>
      <c r="C174" s="6" t="s">
        <v>63</v>
      </c>
      <c r="D174" s="7">
        <v>173</v>
      </c>
      <c r="E174" s="7" t="e">
        <f t="shared" si="4"/>
        <v>#REF!</v>
      </c>
      <c r="G174" s="7" t="str">
        <f t="shared" si="5"/>
        <v/>
      </c>
      <c r="H174" s="7" t="str">
        <f>IFERROR(VLOOKUP(G174,#REF!,2,FALSE),"")</f>
        <v/>
      </c>
    </row>
    <row r="175" spans="1:8" ht="15.75" thickBot="1" x14ac:dyDescent="0.3">
      <c r="A175" s="4" t="s">
        <v>137</v>
      </c>
      <c r="B175" s="6">
        <v>685</v>
      </c>
      <c r="C175" s="6" t="s">
        <v>59</v>
      </c>
      <c r="D175" s="7">
        <v>174</v>
      </c>
      <c r="E175" s="7" t="e">
        <f t="shared" si="4"/>
        <v>#REF!</v>
      </c>
      <c r="G175" s="7" t="str">
        <f t="shared" si="5"/>
        <v/>
      </c>
      <c r="H175" s="7" t="str">
        <f>IFERROR(VLOOKUP(G175,#REF!,2,FALSE),"")</f>
        <v/>
      </c>
    </row>
    <row r="176" spans="1:8" ht="15.75" thickBot="1" x14ac:dyDescent="0.3">
      <c r="A176" s="4" t="s">
        <v>138</v>
      </c>
      <c r="B176" s="6">
        <v>685</v>
      </c>
      <c r="C176" s="6" t="s">
        <v>59</v>
      </c>
      <c r="D176" s="7">
        <v>175</v>
      </c>
      <c r="E176" s="7" t="e">
        <f t="shared" si="4"/>
        <v>#REF!</v>
      </c>
      <c r="G176" s="7" t="str">
        <f t="shared" si="5"/>
        <v/>
      </c>
      <c r="H176" s="7" t="str">
        <f>IFERROR(VLOOKUP(G176,#REF!,2,FALSE),"")</f>
        <v/>
      </c>
    </row>
    <row r="177" spans="1:8" ht="15.75" thickBot="1" x14ac:dyDescent="0.3">
      <c r="A177" s="4" t="s">
        <v>137</v>
      </c>
      <c r="B177" s="6">
        <v>736</v>
      </c>
      <c r="C177" s="6" t="s">
        <v>150</v>
      </c>
      <c r="D177" s="7">
        <v>176</v>
      </c>
      <c r="E177" s="7" t="e">
        <f t="shared" si="4"/>
        <v>#REF!</v>
      </c>
      <c r="G177" s="7" t="str">
        <f t="shared" si="5"/>
        <v/>
      </c>
      <c r="H177" s="7" t="str">
        <f>IFERROR(VLOOKUP(G177,#REF!,2,FALSE),"")</f>
        <v/>
      </c>
    </row>
    <row r="178" spans="1:8" ht="15.75" thickBot="1" x14ac:dyDescent="0.3">
      <c r="A178" s="4" t="s">
        <v>138</v>
      </c>
      <c r="B178" s="6">
        <v>736</v>
      </c>
      <c r="C178" s="6" t="s">
        <v>150</v>
      </c>
      <c r="D178" s="7">
        <v>177</v>
      </c>
      <c r="E178" s="7" t="e">
        <f t="shared" si="4"/>
        <v>#REF!</v>
      </c>
      <c r="G178" s="7" t="str">
        <f t="shared" si="5"/>
        <v/>
      </c>
      <c r="H178" s="7" t="str">
        <f>IFERROR(VLOOKUP(G178,#REF!,2,FALSE),"")</f>
        <v/>
      </c>
    </row>
    <row r="179" spans="1:8" ht="15.75" thickBot="1" x14ac:dyDescent="0.3">
      <c r="A179" s="4" t="s">
        <v>137</v>
      </c>
      <c r="B179" s="6">
        <v>745</v>
      </c>
      <c r="C179" s="6" t="s">
        <v>89</v>
      </c>
      <c r="D179" s="7">
        <v>178</v>
      </c>
      <c r="E179" s="7" t="e">
        <f t="shared" si="4"/>
        <v>#REF!</v>
      </c>
      <c r="G179" s="7" t="str">
        <f t="shared" si="5"/>
        <v/>
      </c>
      <c r="H179" s="7" t="str">
        <f>IFERROR(VLOOKUP(G179,#REF!,2,FALSE),"")</f>
        <v/>
      </c>
    </row>
    <row r="180" spans="1:8" ht="15.75" thickBot="1" x14ac:dyDescent="0.3">
      <c r="A180" s="4" t="s">
        <v>138</v>
      </c>
      <c r="B180" s="6">
        <v>745</v>
      </c>
      <c r="C180" s="6" t="s">
        <v>89</v>
      </c>
      <c r="D180" s="7">
        <v>179</v>
      </c>
      <c r="E180" s="7" t="e">
        <f t="shared" si="4"/>
        <v>#REF!</v>
      </c>
      <c r="G180" s="7" t="str">
        <f t="shared" si="5"/>
        <v/>
      </c>
      <c r="H180" s="7" t="str">
        <f>IFERROR(VLOOKUP(G180,#REF!,2,FALSE),"")</f>
        <v/>
      </c>
    </row>
    <row r="181" spans="1:8" ht="15.75" thickBot="1" x14ac:dyDescent="0.3">
      <c r="A181" s="4" t="s">
        <v>137</v>
      </c>
      <c r="B181" s="6">
        <v>748</v>
      </c>
      <c r="C181" s="6" t="s">
        <v>62</v>
      </c>
      <c r="D181" s="7">
        <v>180</v>
      </c>
      <c r="E181" s="7" t="e">
        <f t="shared" si="4"/>
        <v>#REF!</v>
      </c>
      <c r="G181" s="7" t="str">
        <f t="shared" si="5"/>
        <v/>
      </c>
      <c r="H181" s="7" t="str">
        <f>IFERROR(VLOOKUP(G181,#REF!,2,FALSE),"")</f>
        <v/>
      </c>
    </row>
    <row r="182" spans="1:8" ht="15.75" thickBot="1" x14ac:dyDescent="0.3">
      <c r="A182" s="4" t="s">
        <v>138</v>
      </c>
      <c r="B182" s="6">
        <v>748</v>
      </c>
      <c r="C182" s="6" t="s">
        <v>62</v>
      </c>
      <c r="D182" s="7">
        <v>181</v>
      </c>
      <c r="E182" s="7" t="e">
        <f t="shared" si="4"/>
        <v>#REF!</v>
      </c>
      <c r="G182" s="7" t="str">
        <f t="shared" si="5"/>
        <v/>
      </c>
      <c r="H182" s="7" t="str">
        <f>IFERROR(VLOOKUP(G182,#REF!,2,FALSE),"")</f>
        <v/>
      </c>
    </row>
    <row r="183" spans="1:8" ht="15.75" thickBot="1" x14ac:dyDescent="0.3">
      <c r="A183" s="4" t="s">
        <v>137</v>
      </c>
      <c r="B183" s="6">
        <v>750</v>
      </c>
      <c r="C183" s="6" t="s">
        <v>78</v>
      </c>
      <c r="D183" s="7">
        <v>182</v>
      </c>
      <c r="E183" s="7" t="e">
        <f t="shared" si="4"/>
        <v>#REF!</v>
      </c>
      <c r="G183" s="7" t="str">
        <f t="shared" si="5"/>
        <v/>
      </c>
      <c r="H183" s="7" t="str">
        <f>IFERROR(VLOOKUP(G183,#REF!,2,FALSE),"")</f>
        <v/>
      </c>
    </row>
    <row r="184" spans="1:8" ht="15.75" thickBot="1" x14ac:dyDescent="0.3">
      <c r="A184" s="4" t="s">
        <v>138</v>
      </c>
      <c r="B184" s="6">
        <v>750</v>
      </c>
      <c r="C184" s="6" t="s">
        <v>78</v>
      </c>
      <c r="D184" s="7">
        <v>183</v>
      </c>
      <c r="E184" s="7" t="e">
        <f t="shared" si="4"/>
        <v>#REF!</v>
      </c>
      <c r="G184" s="7" t="str">
        <f t="shared" si="5"/>
        <v/>
      </c>
      <c r="H184" s="7" t="str">
        <f>IFERROR(VLOOKUP(G184,#REF!,2,FALSE),"")</f>
        <v/>
      </c>
    </row>
    <row r="185" spans="1:8" ht="15.75" thickBot="1" x14ac:dyDescent="0.3">
      <c r="A185" s="4" t="s">
        <v>137</v>
      </c>
      <c r="B185" s="6">
        <v>754</v>
      </c>
      <c r="C185" s="6" t="s">
        <v>32</v>
      </c>
      <c r="D185" s="7">
        <v>184</v>
      </c>
      <c r="E185" s="7" t="e">
        <f t="shared" si="4"/>
        <v>#REF!</v>
      </c>
      <c r="G185" s="7" t="str">
        <f t="shared" si="5"/>
        <v/>
      </c>
      <c r="H185" s="7" t="str">
        <f>IFERROR(VLOOKUP(G185,#REF!,2,FALSE),"")</f>
        <v/>
      </c>
    </row>
    <row r="186" spans="1:8" ht="15.75" thickBot="1" x14ac:dyDescent="0.3">
      <c r="A186" s="4" t="s">
        <v>138</v>
      </c>
      <c r="B186" s="6">
        <v>754</v>
      </c>
      <c r="C186" s="6" t="s">
        <v>32</v>
      </c>
      <c r="D186" s="7">
        <v>185</v>
      </c>
      <c r="E186" s="7" t="e">
        <f t="shared" si="4"/>
        <v>#REF!</v>
      </c>
      <c r="G186" s="7" t="str">
        <f t="shared" si="5"/>
        <v/>
      </c>
      <c r="H186" s="7" t="str">
        <f>IFERROR(VLOOKUP(G186,#REF!,2,FALSE),"")</f>
        <v/>
      </c>
    </row>
    <row r="187" spans="1:8" ht="15.75" thickBot="1" x14ac:dyDescent="0.3">
      <c r="A187" s="4" t="s">
        <v>137</v>
      </c>
      <c r="B187" s="6">
        <v>757</v>
      </c>
      <c r="C187" s="6" t="s">
        <v>20</v>
      </c>
      <c r="D187" s="7">
        <v>186</v>
      </c>
      <c r="E187" s="7" t="e">
        <f t="shared" si="4"/>
        <v>#REF!</v>
      </c>
      <c r="G187" s="7" t="str">
        <f t="shared" si="5"/>
        <v/>
      </c>
      <c r="H187" s="7" t="str">
        <f>IFERROR(VLOOKUP(G187,#REF!,2,FALSE),"")</f>
        <v/>
      </c>
    </row>
    <row r="188" spans="1:8" ht="15.75" thickBot="1" x14ac:dyDescent="0.3">
      <c r="A188" s="4" t="s">
        <v>138</v>
      </c>
      <c r="B188" s="6">
        <v>757</v>
      </c>
      <c r="C188" s="6" t="s">
        <v>20</v>
      </c>
      <c r="D188" s="7">
        <v>187</v>
      </c>
      <c r="E188" s="7" t="e">
        <f t="shared" si="4"/>
        <v>#REF!</v>
      </c>
      <c r="G188" s="7" t="str">
        <f t="shared" si="5"/>
        <v/>
      </c>
      <c r="H188" s="7" t="str">
        <f>IFERROR(VLOOKUP(G188,#REF!,2,FALSE),"")</f>
        <v/>
      </c>
    </row>
    <row r="189" spans="1:8" ht="15.75" thickBot="1" x14ac:dyDescent="0.3">
      <c r="A189" s="4" t="s">
        <v>137</v>
      </c>
      <c r="B189" s="6">
        <v>758</v>
      </c>
      <c r="C189" s="6" t="s">
        <v>17</v>
      </c>
      <c r="D189" s="7">
        <v>188</v>
      </c>
      <c r="E189" s="7" t="e">
        <f t="shared" si="4"/>
        <v>#REF!</v>
      </c>
      <c r="G189" s="7" t="str">
        <f t="shared" si="5"/>
        <v/>
      </c>
      <c r="H189" s="7" t="str">
        <f>IFERROR(VLOOKUP(G189,#REF!,2,FALSE),"")</f>
        <v/>
      </c>
    </row>
    <row r="190" spans="1:8" ht="15.75" thickBot="1" x14ac:dyDescent="0.3">
      <c r="A190" s="4" t="s">
        <v>138</v>
      </c>
      <c r="B190" s="6">
        <v>758</v>
      </c>
      <c r="C190" s="6" t="s">
        <v>17</v>
      </c>
      <c r="D190" s="7">
        <v>189</v>
      </c>
      <c r="E190" s="7" t="e">
        <f t="shared" si="4"/>
        <v>#REF!</v>
      </c>
      <c r="G190" s="7" t="str">
        <f t="shared" si="5"/>
        <v/>
      </c>
      <c r="H190" s="7" t="str">
        <f>IFERROR(VLOOKUP(G190,#REF!,2,FALSE),"")</f>
        <v/>
      </c>
    </row>
    <row r="191" spans="1:8" ht="15.75" thickBot="1" x14ac:dyDescent="0.3">
      <c r="A191" s="4" t="s">
        <v>137</v>
      </c>
      <c r="B191" s="6">
        <v>760</v>
      </c>
      <c r="C191" s="6" t="s">
        <v>14</v>
      </c>
      <c r="D191" s="7">
        <v>190</v>
      </c>
      <c r="E191" s="7" t="e">
        <f t="shared" si="4"/>
        <v>#REF!</v>
      </c>
      <c r="G191" s="7" t="str">
        <f t="shared" si="5"/>
        <v/>
      </c>
      <c r="H191" s="7" t="str">
        <f>IFERROR(VLOOKUP(G191,#REF!,2,FALSE),"")</f>
        <v/>
      </c>
    </row>
    <row r="192" spans="1:8" ht="15.75" thickBot="1" x14ac:dyDescent="0.3">
      <c r="A192" s="4" t="s">
        <v>138</v>
      </c>
      <c r="B192" s="6">
        <v>760</v>
      </c>
      <c r="C192" s="6" t="s">
        <v>14</v>
      </c>
      <c r="D192" s="7">
        <v>191</v>
      </c>
      <c r="E192" s="7" t="e">
        <f t="shared" si="4"/>
        <v>#REF!</v>
      </c>
      <c r="G192" s="7" t="str">
        <f t="shared" si="5"/>
        <v/>
      </c>
      <c r="H192" s="7" t="str">
        <f>IFERROR(VLOOKUP(G192,#REF!,2,FALSE),"")</f>
        <v/>
      </c>
    </row>
    <row r="193" spans="1:8" ht="15.75" thickBot="1" x14ac:dyDescent="0.3">
      <c r="A193" s="4" t="s">
        <v>137</v>
      </c>
      <c r="B193" s="6">
        <v>773</v>
      </c>
      <c r="C193" s="6" t="s">
        <v>4</v>
      </c>
      <c r="D193" s="7">
        <v>192</v>
      </c>
      <c r="E193" s="7" t="e">
        <f t="shared" si="4"/>
        <v>#REF!</v>
      </c>
      <c r="G193" s="7" t="str">
        <f t="shared" si="5"/>
        <v/>
      </c>
      <c r="H193" s="7" t="str">
        <f>IFERROR(VLOOKUP(G193,#REF!,2,FALSE),"")</f>
        <v/>
      </c>
    </row>
    <row r="194" spans="1:8" ht="15.75" thickBot="1" x14ac:dyDescent="0.3">
      <c r="A194" s="4" t="s">
        <v>138</v>
      </c>
      <c r="B194" s="6">
        <v>773</v>
      </c>
      <c r="C194" s="6" t="s">
        <v>4</v>
      </c>
      <c r="D194" s="7">
        <v>193</v>
      </c>
      <c r="E194" s="7" t="e">
        <f t="shared" si="4"/>
        <v>#REF!</v>
      </c>
      <c r="G194" s="7" t="str">
        <f t="shared" si="5"/>
        <v/>
      </c>
      <c r="H194" s="7" t="str">
        <f>IFERROR(VLOOKUP(G194,#REF!,2,FALSE),"")</f>
        <v/>
      </c>
    </row>
    <row r="195" spans="1:8" ht="15.75" thickBot="1" x14ac:dyDescent="0.3">
      <c r="A195" s="4" t="s">
        <v>137</v>
      </c>
      <c r="B195" s="6">
        <v>775</v>
      </c>
      <c r="C195" s="6" t="s">
        <v>3</v>
      </c>
      <c r="D195" s="7">
        <v>194</v>
      </c>
      <c r="E195" s="7" t="e">
        <f t="shared" ref="E195:E250" si="6">IF(A195=$F$2,B195,"")</f>
        <v>#REF!</v>
      </c>
      <c r="G195" s="7" t="str">
        <f t="shared" ref="G195:G250" si="7">IFERROR(SMALL($E$2:$E$250,D195),"")</f>
        <v/>
      </c>
      <c r="H195" s="7" t="str">
        <f>IFERROR(VLOOKUP(G195,#REF!,2,FALSE),"")</f>
        <v/>
      </c>
    </row>
    <row r="196" spans="1:8" ht="15.75" thickBot="1" x14ac:dyDescent="0.3">
      <c r="A196" s="4" t="s">
        <v>138</v>
      </c>
      <c r="B196" s="6">
        <v>775</v>
      </c>
      <c r="C196" s="6" t="s">
        <v>3</v>
      </c>
      <c r="D196" s="7">
        <v>195</v>
      </c>
      <c r="E196" s="7" t="e">
        <f t="shared" si="6"/>
        <v>#REF!</v>
      </c>
      <c r="G196" s="7" t="str">
        <f t="shared" si="7"/>
        <v/>
      </c>
      <c r="H196" s="7" t="str">
        <f>IFERROR(VLOOKUP(G196,#REF!,2,FALSE),"")</f>
        <v/>
      </c>
    </row>
    <row r="197" spans="1:8" ht="15.75" thickBot="1" x14ac:dyDescent="0.3">
      <c r="A197" s="4" t="s">
        <v>137</v>
      </c>
      <c r="B197" s="6">
        <v>779</v>
      </c>
      <c r="C197" s="6" t="s">
        <v>10</v>
      </c>
      <c r="D197" s="7">
        <v>196</v>
      </c>
      <c r="E197" s="7" t="e">
        <f t="shared" si="6"/>
        <v>#REF!</v>
      </c>
      <c r="G197" s="7" t="str">
        <f t="shared" si="7"/>
        <v/>
      </c>
      <c r="H197" s="7" t="str">
        <f>IFERROR(VLOOKUP(G197,#REF!,2,FALSE),"")</f>
        <v/>
      </c>
    </row>
    <row r="198" spans="1:8" ht="15.75" thickBot="1" x14ac:dyDescent="0.3">
      <c r="A198" s="4" t="s">
        <v>138</v>
      </c>
      <c r="B198" s="6">
        <v>779</v>
      </c>
      <c r="C198" s="6" t="s">
        <v>10</v>
      </c>
      <c r="D198" s="7">
        <v>197</v>
      </c>
      <c r="E198" s="7" t="e">
        <f t="shared" si="6"/>
        <v>#REF!</v>
      </c>
      <c r="G198" s="7" t="str">
        <f t="shared" si="7"/>
        <v/>
      </c>
      <c r="H198" s="7" t="str">
        <f>IFERROR(VLOOKUP(G198,#REF!,2,FALSE),"")</f>
        <v/>
      </c>
    </row>
    <row r="199" spans="1:8" ht="15.75" thickBot="1" x14ac:dyDescent="0.3">
      <c r="A199" s="4" t="s">
        <v>137</v>
      </c>
      <c r="B199" s="6">
        <v>784</v>
      </c>
      <c r="C199" s="6" t="s">
        <v>5</v>
      </c>
      <c r="D199" s="7">
        <v>198</v>
      </c>
      <c r="E199" s="7" t="e">
        <f t="shared" si="6"/>
        <v>#REF!</v>
      </c>
      <c r="G199" s="7" t="str">
        <f t="shared" si="7"/>
        <v/>
      </c>
      <c r="H199" s="7" t="str">
        <f>IFERROR(VLOOKUP(G199,#REF!,2,FALSE),"")</f>
        <v/>
      </c>
    </row>
    <row r="200" spans="1:8" ht="15.75" thickBot="1" x14ac:dyDescent="0.3">
      <c r="A200" s="4" t="s">
        <v>138</v>
      </c>
      <c r="B200" s="6">
        <v>784</v>
      </c>
      <c r="C200" s="6" t="s">
        <v>5</v>
      </c>
      <c r="D200" s="7">
        <v>199</v>
      </c>
      <c r="E200" s="7" t="e">
        <f t="shared" si="6"/>
        <v>#REF!</v>
      </c>
      <c r="G200" s="7" t="str">
        <f t="shared" si="7"/>
        <v/>
      </c>
      <c r="H200" s="7" t="str">
        <f>IFERROR(VLOOKUP(G200,#REF!,2,FALSE),"")</f>
        <v/>
      </c>
    </row>
    <row r="201" spans="1:8" ht="15.75" thickBot="1" x14ac:dyDescent="0.3">
      <c r="A201" s="4" t="s">
        <v>137</v>
      </c>
      <c r="B201" s="6">
        <v>788</v>
      </c>
      <c r="C201" s="6" t="s">
        <v>2</v>
      </c>
      <c r="D201" s="7">
        <v>200</v>
      </c>
      <c r="E201" s="7" t="e">
        <f t="shared" si="6"/>
        <v>#REF!</v>
      </c>
      <c r="G201" s="7" t="str">
        <f t="shared" si="7"/>
        <v/>
      </c>
      <c r="H201" s="7" t="str">
        <f>IFERROR(VLOOKUP(G201,#REF!,2,FALSE),"")</f>
        <v/>
      </c>
    </row>
    <row r="202" spans="1:8" ht="15.75" thickBot="1" x14ac:dyDescent="0.3">
      <c r="A202" s="4" t="s">
        <v>138</v>
      </c>
      <c r="B202" s="6">
        <v>788</v>
      </c>
      <c r="C202" s="6" t="s">
        <v>2</v>
      </c>
      <c r="D202" s="7">
        <v>201</v>
      </c>
      <c r="E202" s="7" t="e">
        <f t="shared" si="6"/>
        <v>#REF!</v>
      </c>
      <c r="G202" s="7" t="str">
        <f t="shared" si="7"/>
        <v/>
      </c>
      <c r="H202" s="7" t="str">
        <f>IFERROR(VLOOKUP(G202,#REF!,2,FALSE),"")</f>
        <v/>
      </c>
    </row>
    <row r="203" spans="1:8" ht="15.75" thickBot="1" x14ac:dyDescent="0.3">
      <c r="A203" s="4" t="s">
        <v>137</v>
      </c>
      <c r="B203" s="6">
        <v>792</v>
      </c>
      <c r="C203" s="6" t="s">
        <v>7</v>
      </c>
      <c r="D203" s="7">
        <v>202</v>
      </c>
      <c r="E203" s="7" t="e">
        <f t="shared" si="6"/>
        <v>#REF!</v>
      </c>
      <c r="G203" s="7" t="str">
        <f t="shared" si="7"/>
        <v/>
      </c>
      <c r="H203" s="7" t="str">
        <f>IFERROR(VLOOKUP(G203,#REF!,2,FALSE),"")</f>
        <v/>
      </c>
    </row>
    <row r="204" spans="1:8" ht="15.75" thickBot="1" x14ac:dyDescent="0.3">
      <c r="A204" s="4" t="s">
        <v>138</v>
      </c>
      <c r="B204" s="6">
        <v>792</v>
      </c>
      <c r="C204" s="6" t="s">
        <v>7</v>
      </c>
      <c r="D204" s="7">
        <v>203</v>
      </c>
      <c r="E204" s="7" t="e">
        <f t="shared" si="6"/>
        <v>#REF!</v>
      </c>
      <c r="G204" s="7" t="str">
        <f t="shared" si="7"/>
        <v/>
      </c>
      <c r="H204" s="7" t="str">
        <f>IFERROR(VLOOKUP(G204,#REF!,2,FALSE),"")</f>
        <v/>
      </c>
    </row>
    <row r="205" spans="1:8" ht="15.75" thickBot="1" x14ac:dyDescent="0.3">
      <c r="A205" s="4" t="s">
        <v>137</v>
      </c>
      <c r="B205" s="6">
        <v>796</v>
      </c>
      <c r="C205" s="6" t="s">
        <v>6</v>
      </c>
      <c r="D205" s="7">
        <v>204</v>
      </c>
      <c r="E205" s="7" t="e">
        <f t="shared" si="6"/>
        <v>#REF!</v>
      </c>
      <c r="G205" s="7" t="str">
        <f t="shared" si="7"/>
        <v/>
      </c>
      <c r="H205" s="7" t="str">
        <f>IFERROR(VLOOKUP(G205,#REF!,2,FALSE),"")</f>
        <v/>
      </c>
    </row>
    <row r="206" spans="1:8" ht="15.75" thickBot="1" x14ac:dyDescent="0.3">
      <c r="A206" s="4" t="s">
        <v>138</v>
      </c>
      <c r="B206" s="6">
        <v>796</v>
      </c>
      <c r="C206" s="6" t="s">
        <v>6</v>
      </c>
      <c r="D206" s="7">
        <v>205</v>
      </c>
      <c r="E206" s="7" t="e">
        <f t="shared" si="6"/>
        <v>#REF!</v>
      </c>
      <c r="G206" s="7" t="str">
        <f t="shared" si="7"/>
        <v/>
      </c>
      <c r="H206" s="7" t="str">
        <f>IFERROR(VLOOKUP(G206,#REF!,2,FALSE),"")</f>
        <v/>
      </c>
    </row>
    <row r="207" spans="1:8" ht="15.75" thickBot="1" x14ac:dyDescent="0.3">
      <c r="A207" s="4" t="s">
        <v>137</v>
      </c>
      <c r="B207" s="6">
        <v>802</v>
      </c>
      <c r="C207" s="6" t="s">
        <v>8</v>
      </c>
      <c r="D207" s="7">
        <v>206</v>
      </c>
      <c r="E207" s="7" t="e">
        <f t="shared" si="6"/>
        <v>#REF!</v>
      </c>
      <c r="G207" s="7" t="str">
        <f t="shared" si="7"/>
        <v/>
      </c>
      <c r="H207" s="7" t="str">
        <f>IFERROR(VLOOKUP(G207,#REF!,2,FALSE),"")</f>
        <v/>
      </c>
    </row>
    <row r="208" spans="1:8" ht="15.75" thickBot="1" x14ac:dyDescent="0.3">
      <c r="A208" s="4" t="s">
        <v>138</v>
      </c>
      <c r="B208" s="6">
        <v>802</v>
      </c>
      <c r="C208" s="6" t="s">
        <v>8</v>
      </c>
      <c r="D208" s="7">
        <v>207</v>
      </c>
      <c r="E208" s="7" t="e">
        <f t="shared" si="6"/>
        <v>#REF!</v>
      </c>
      <c r="G208" s="7" t="str">
        <f t="shared" si="7"/>
        <v/>
      </c>
      <c r="H208" s="7" t="str">
        <f>IFERROR(VLOOKUP(G208,#REF!,2,FALSE),"")</f>
        <v/>
      </c>
    </row>
    <row r="209" spans="1:8" ht="15.75" thickBot="1" x14ac:dyDescent="0.3">
      <c r="A209" s="4" t="s">
        <v>137</v>
      </c>
      <c r="B209" s="6">
        <v>803</v>
      </c>
      <c r="C209" s="6" t="s">
        <v>9</v>
      </c>
      <c r="D209" s="7">
        <v>208</v>
      </c>
      <c r="E209" s="7" t="e">
        <f t="shared" si="6"/>
        <v>#REF!</v>
      </c>
      <c r="G209" s="7" t="str">
        <f t="shared" si="7"/>
        <v/>
      </c>
      <c r="H209" s="7" t="str">
        <f>IFERROR(VLOOKUP(G209,#REF!,2,FALSE),"")</f>
        <v/>
      </c>
    </row>
    <row r="210" spans="1:8" ht="15.75" thickBot="1" x14ac:dyDescent="0.3">
      <c r="A210" s="4" t="s">
        <v>138</v>
      </c>
      <c r="B210" s="6">
        <v>803</v>
      </c>
      <c r="C210" s="6" t="s">
        <v>9</v>
      </c>
      <c r="D210" s="7">
        <v>209</v>
      </c>
      <c r="E210" s="7" t="e">
        <f t="shared" si="6"/>
        <v>#REF!</v>
      </c>
      <c r="G210" s="7" t="str">
        <f t="shared" si="7"/>
        <v/>
      </c>
      <c r="H210" s="7" t="str">
        <f>IFERROR(VLOOKUP(G210,#REF!,2,FALSE),"")</f>
        <v/>
      </c>
    </row>
    <row r="211" spans="1:8" ht="15.75" thickBot="1" x14ac:dyDescent="0.3">
      <c r="A211" s="4" t="s">
        <v>137</v>
      </c>
      <c r="B211" s="6">
        <v>805</v>
      </c>
      <c r="C211" s="6" t="s">
        <v>27</v>
      </c>
      <c r="D211" s="7">
        <v>210</v>
      </c>
      <c r="E211" s="7" t="e">
        <f t="shared" si="6"/>
        <v>#REF!</v>
      </c>
      <c r="G211" s="7" t="str">
        <f t="shared" si="7"/>
        <v/>
      </c>
      <c r="H211" s="7" t="str">
        <f>IFERROR(VLOOKUP(G211,#REF!,2,FALSE),"")</f>
        <v/>
      </c>
    </row>
    <row r="212" spans="1:8" ht="15.75" thickBot="1" x14ac:dyDescent="0.3">
      <c r="A212" s="4" t="s">
        <v>138</v>
      </c>
      <c r="B212" s="6">
        <v>805</v>
      </c>
      <c r="C212" s="6" t="s">
        <v>27</v>
      </c>
      <c r="D212" s="7">
        <v>211</v>
      </c>
      <c r="E212" s="7" t="e">
        <f t="shared" si="6"/>
        <v>#REF!</v>
      </c>
      <c r="G212" s="7" t="str">
        <f t="shared" si="7"/>
        <v/>
      </c>
      <c r="H212" s="7" t="str">
        <f>IFERROR(VLOOKUP(G212,#REF!,2,FALSE),"")</f>
        <v/>
      </c>
    </row>
    <row r="213" spans="1:8" ht="15.75" thickBot="1" x14ac:dyDescent="0.3">
      <c r="A213" s="4" t="s">
        <v>137</v>
      </c>
      <c r="B213" s="6">
        <v>820</v>
      </c>
      <c r="C213" s="6" t="s">
        <v>47</v>
      </c>
      <c r="D213" s="7">
        <v>212</v>
      </c>
      <c r="E213" s="7" t="e">
        <f t="shared" si="6"/>
        <v>#REF!</v>
      </c>
      <c r="G213" s="7" t="str">
        <f t="shared" si="7"/>
        <v/>
      </c>
      <c r="H213" s="7" t="str">
        <f>IFERROR(VLOOKUP(G213,#REF!,2,FALSE),"")</f>
        <v/>
      </c>
    </row>
    <row r="214" spans="1:8" ht="15.75" thickBot="1" x14ac:dyDescent="0.3">
      <c r="A214" s="4" t="s">
        <v>138</v>
      </c>
      <c r="B214" s="6">
        <v>820</v>
      </c>
      <c r="C214" s="6" t="s">
        <v>47</v>
      </c>
      <c r="D214" s="7">
        <v>213</v>
      </c>
      <c r="E214" s="7" t="e">
        <f t="shared" si="6"/>
        <v>#REF!</v>
      </c>
      <c r="G214" s="7" t="str">
        <f t="shared" si="7"/>
        <v/>
      </c>
      <c r="H214" s="7" t="str">
        <f>IFERROR(VLOOKUP(G214,#REF!,2,FALSE),"")</f>
        <v/>
      </c>
    </row>
    <row r="215" spans="1:8" ht="15.75" thickBot="1" x14ac:dyDescent="0.3">
      <c r="A215" s="4" t="s">
        <v>137</v>
      </c>
      <c r="B215" s="6">
        <v>830</v>
      </c>
      <c r="C215" s="6" t="s">
        <v>50</v>
      </c>
      <c r="D215" s="7">
        <v>214</v>
      </c>
      <c r="E215" s="7" t="e">
        <f t="shared" si="6"/>
        <v>#REF!</v>
      </c>
      <c r="G215" s="7" t="str">
        <f t="shared" si="7"/>
        <v/>
      </c>
      <c r="H215" s="7" t="str">
        <f>IFERROR(VLOOKUP(G215,#REF!,2,FALSE),"")</f>
        <v/>
      </c>
    </row>
    <row r="216" spans="1:8" ht="15.75" thickBot="1" x14ac:dyDescent="0.3">
      <c r="A216" s="4" t="s">
        <v>138</v>
      </c>
      <c r="B216" s="6">
        <v>830</v>
      </c>
      <c r="C216" s="6" t="s">
        <v>50</v>
      </c>
      <c r="D216" s="7">
        <v>215</v>
      </c>
      <c r="E216" s="7" t="e">
        <f t="shared" si="6"/>
        <v>#REF!</v>
      </c>
      <c r="G216" s="7" t="str">
        <f t="shared" si="7"/>
        <v/>
      </c>
      <c r="H216" s="7" t="str">
        <f>IFERROR(VLOOKUP(G216,#REF!,2,FALSE),"")</f>
        <v/>
      </c>
    </row>
    <row r="217" spans="1:8" ht="15.75" thickBot="1" x14ac:dyDescent="0.3">
      <c r="A217" s="4" t="s">
        <v>137</v>
      </c>
      <c r="B217" s="6">
        <v>855</v>
      </c>
      <c r="C217" s="6" t="s">
        <v>23</v>
      </c>
      <c r="D217" s="7">
        <v>216</v>
      </c>
      <c r="E217" s="7" t="e">
        <f t="shared" si="6"/>
        <v>#REF!</v>
      </c>
      <c r="G217" s="7" t="str">
        <f t="shared" si="7"/>
        <v/>
      </c>
      <c r="H217" s="7" t="str">
        <f>IFERROR(VLOOKUP(G217,#REF!,2,FALSE),"")</f>
        <v/>
      </c>
    </row>
    <row r="218" spans="1:8" ht="15.75" thickBot="1" x14ac:dyDescent="0.3">
      <c r="A218" s="4" t="s">
        <v>138</v>
      </c>
      <c r="B218" s="6">
        <v>855</v>
      </c>
      <c r="C218" s="6" t="s">
        <v>23</v>
      </c>
      <c r="D218" s="7">
        <v>217</v>
      </c>
      <c r="E218" s="7" t="e">
        <f t="shared" si="6"/>
        <v>#REF!</v>
      </c>
      <c r="G218" s="7" t="str">
        <f t="shared" si="7"/>
        <v/>
      </c>
      <c r="H218" s="7" t="str">
        <f>IFERROR(VLOOKUP(G218,#REF!,2,FALSE),"")</f>
        <v/>
      </c>
    </row>
    <row r="219" spans="1:8" ht="15.75" thickBot="1" x14ac:dyDescent="0.3">
      <c r="A219" s="4" t="s">
        <v>137</v>
      </c>
      <c r="B219" s="6">
        <v>870</v>
      </c>
      <c r="C219" s="6" t="s">
        <v>43</v>
      </c>
      <c r="D219" s="7">
        <v>218</v>
      </c>
      <c r="E219" s="7" t="e">
        <f t="shared" si="6"/>
        <v>#REF!</v>
      </c>
      <c r="G219" s="7" t="str">
        <f t="shared" si="7"/>
        <v/>
      </c>
      <c r="H219" s="7" t="str">
        <f>IFERROR(VLOOKUP(G219,#REF!,2,FALSE),"")</f>
        <v/>
      </c>
    </row>
    <row r="220" spans="1:8" ht="15.75" thickBot="1" x14ac:dyDescent="0.3">
      <c r="A220" s="4" t="s">
        <v>138</v>
      </c>
      <c r="B220" s="6">
        <v>870</v>
      </c>
      <c r="C220" s="6" t="s">
        <v>43</v>
      </c>
      <c r="D220" s="7">
        <v>219</v>
      </c>
      <c r="E220" s="7" t="e">
        <f t="shared" si="6"/>
        <v>#REF!</v>
      </c>
      <c r="G220" s="7" t="str">
        <f t="shared" si="7"/>
        <v/>
      </c>
      <c r="H220" s="7" t="str">
        <f>IFERROR(VLOOKUP(G220,#REF!,2,FALSE),"")</f>
        <v/>
      </c>
    </row>
    <row r="221" spans="1:8" ht="15.75" thickBot="1" x14ac:dyDescent="0.3">
      <c r="A221" s="4" t="s">
        <v>137</v>
      </c>
      <c r="B221" s="6">
        <v>880</v>
      </c>
      <c r="C221" s="6" t="s">
        <v>81</v>
      </c>
      <c r="D221" s="7">
        <v>220</v>
      </c>
      <c r="E221" s="7" t="e">
        <f t="shared" si="6"/>
        <v>#REF!</v>
      </c>
      <c r="G221" s="7" t="str">
        <f t="shared" si="7"/>
        <v/>
      </c>
      <c r="H221" s="7" t="str">
        <f>IFERROR(VLOOKUP(G221,#REF!,2,FALSE),"")</f>
        <v/>
      </c>
    </row>
    <row r="222" spans="1:8" ht="15.75" thickBot="1" x14ac:dyDescent="0.3">
      <c r="A222" s="4" t="s">
        <v>138</v>
      </c>
      <c r="B222" s="6">
        <v>880</v>
      </c>
      <c r="C222" s="6" t="s">
        <v>81</v>
      </c>
      <c r="D222" s="7">
        <v>221</v>
      </c>
      <c r="E222" s="7" t="e">
        <f t="shared" si="6"/>
        <v>#REF!</v>
      </c>
      <c r="G222" s="7" t="str">
        <f t="shared" si="7"/>
        <v/>
      </c>
      <c r="H222" s="7" t="str">
        <f>IFERROR(VLOOKUP(G222,#REF!,2,FALSE),"")</f>
        <v/>
      </c>
    </row>
    <row r="223" spans="1:8" ht="15.75" thickBot="1" x14ac:dyDescent="0.3">
      <c r="A223" s="4" t="s">
        <v>137</v>
      </c>
      <c r="B223" s="6">
        <v>882</v>
      </c>
      <c r="C223" s="6" t="s">
        <v>85</v>
      </c>
      <c r="D223" s="7">
        <v>222</v>
      </c>
      <c r="E223" s="7" t="e">
        <f t="shared" si="6"/>
        <v>#REF!</v>
      </c>
      <c r="G223" s="7" t="str">
        <f t="shared" si="7"/>
        <v/>
      </c>
      <c r="H223" s="7" t="str">
        <f>IFERROR(VLOOKUP(G223,#REF!,2,FALSE),"")</f>
        <v/>
      </c>
    </row>
    <row r="224" spans="1:8" ht="15.75" thickBot="1" x14ac:dyDescent="0.3">
      <c r="A224" s="4" t="s">
        <v>138</v>
      </c>
      <c r="B224" s="6">
        <v>882</v>
      </c>
      <c r="C224" s="6" t="s">
        <v>85</v>
      </c>
      <c r="D224" s="7">
        <v>223</v>
      </c>
      <c r="E224" s="7" t="e">
        <f t="shared" si="6"/>
        <v>#REF!</v>
      </c>
      <c r="G224" s="7" t="str">
        <f t="shared" si="7"/>
        <v/>
      </c>
      <c r="H224" s="7" t="str">
        <f>IFERROR(VLOOKUP(G224,#REF!,2,FALSE),"")</f>
        <v/>
      </c>
    </row>
    <row r="225" spans="1:8" ht="15.75" thickBot="1" x14ac:dyDescent="0.3">
      <c r="A225" s="4" t="s">
        <v>137</v>
      </c>
      <c r="B225" s="6">
        <v>884</v>
      </c>
      <c r="C225" s="6" t="s">
        <v>83</v>
      </c>
      <c r="D225" s="7">
        <v>224</v>
      </c>
      <c r="E225" s="7" t="e">
        <f t="shared" si="6"/>
        <v>#REF!</v>
      </c>
      <c r="G225" s="7" t="str">
        <f t="shared" si="7"/>
        <v/>
      </c>
      <c r="H225" s="7" t="str">
        <f>IFERROR(VLOOKUP(G225,#REF!,2,FALSE),"")</f>
        <v/>
      </c>
    </row>
    <row r="226" spans="1:8" ht="15.75" thickBot="1" x14ac:dyDescent="0.3">
      <c r="A226" s="4" t="s">
        <v>138</v>
      </c>
      <c r="B226" s="6">
        <v>884</v>
      </c>
      <c r="C226" s="6" t="s">
        <v>83</v>
      </c>
      <c r="D226" s="7">
        <v>225</v>
      </c>
      <c r="E226" s="7" t="e">
        <f t="shared" si="6"/>
        <v>#REF!</v>
      </c>
      <c r="G226" s="7" t="str">
        <f t="shared" si="7"/>
        <v/>
      </c>
      <c r="H226" s="7" t="str">
        <f>IFERROR(VLOOKUP(G226,#REF!,2,FALSE),"")</f>
        <v/>
      </c>
    </row>
    <row r="227" spans="1:8" ht="15.75" thickBot="1" x14ac:dyDescent="0.3">
      <c r="A227" s="4" t="s">
        <v>137</v>
      </c>
      <c r="B227" s="6">
        <v>886</v>
      </c>
      <c r="C227" s="6" t="s">
        <v>82</v>
      </c>
      <c r="D227" s="7">
        <v>226</v>
      </c>
      <c r="E227" s="7" t="e">
        <f t="shared" si="6"/>
        <v>#REF!</v>
      </c>
      <c r="G227" s="7" t="str">
        <f t="shared" si="7"/>
        <v/>
      </c>
      <c r="H227" s="7" t="str">
        <f>IFERROR(VLOOKUP(G227,#REF!,2,FALSE),"")</f>
        <v/>
      </c>
    </row>
    <row r="228" spans="1:8" ht="15.75" thickBot="1" x14ac:dyDescent="0.3">
      <c r="A228" s="4" t="s">
        <v>138</v>
      </c>
      <c r="B228" s="6">
        <v>886</v>
      </c>
      <c r="C228" s="6" t="s">
        <v>82</v>
      </c>
      <c r="D228" s="7">
        <v>227</v>
      </c>
      <c r="E228" s="7" t="e">
        <f t="shared" si="6"/>
        <v>#REF!</v>
      </c>
      <c r="G228" s="7" t="str">
        <f t="shared" si="7"/>
        <v/>
      </c>
      <c r="H228" s="7" t="str">
        <f>IFERROR(VLOOKUP(G228,#REF!,2,FALSE),"")</f>
        <v/>
      </c>
    </row>
    <row r="229" spans="1:8" ht="15.75" thickBot="1" x14ac:dyDescent="0.3">
      <c r="A229" s="4" t="s">
        <v>137</v>
      </c>
      <c r="B229" s="6">
        <v>888</v>
      </c>
      <c r="C229" s="6" t="s">
        <v>84</v>
      </c>
      <c r="D229" s="7">
        <v>228</v>
      </c>
      <c r="E229" s="7" t="e">
        <f t="shared" si="6"/>
        <v>#REF!</v>
      </c>
      <c r="G229" s="7" t="str">
        <f t="shared" si="7"/>
        <v/>
      </c>
      <c r="H229" s="7" t="str">
        <f>IFERROR(VLOOKUP(G229,#REF!,2,FALSE),"")</f>
        <v/>
      </c>
    </row>
    <row r="230" spans="1:8" ht="15.75" thickBot="1" x14ac:dyDescent="0.3">
      <c r="A230" s="4" t="s">
        <v>138</v>
      </c>
      <c r="B230" s="6">
        <v>888</v>
      </c>
      <c r="C230" s="6" t="s">
        <v>84</v>
      </c>
      <c r="D230" s="7">
        <v>229</v>
      </c>
      <c r="E230" s="7" t="e">
        <f t="shared" si="6"/>
        <v>#REF!</v>
      </c>
      <c r="G230" s="7" t="str">
        <f t="shared" si="7"/>
        <v/>
      </c>
      <c r="H230" s="7" t="str">
        <f>IFERROR(VLOOKUP(G230,#REF!,2,FALSE),"")</f>
        <v/>
      </c>
    </row>
    <row r="231" spans="1:8" ht="15.75" thickBot="1" x14ac:dyDescent="0.3">
      <c r="A231" s="4" t="s">
        <v>137</v>
      </c>
      <c r="B231" s="6">
        <v>890</v>
      </c>
      <c r="C231" s="6" t="s">
        <v>76</v>
      </c>
      <c r="D231" s="7">
        <v>230</v>
      </c>
      <c r="E231" s="7" t="e">
        <f t="shared" si="6"/>
        <v>#REF!</v>
      </c>
      <c r="G231" s="7" t="str">
        <f t="shared" si="7"/>
        <v/>
      </c>
      <c r="H231" s="7" t="str">
        <f>IFERROR(VLOOKUP(G231,#REF!,2,FALSE),"")</f>
        <v/>
      </c>
    </row>
    <row r="232" spans="1:8" ht="15.75" thickBot="1" x14ac:dyDescent="0.3">
      <c r="A232" s="4" t="s">
        <v>138</v>
      </c>
      <c r="B232" s="6">
        <v>890</v>
      </c>
      <c r="C232" s="6" t="s">
        <v>76</v>
      </c>
      <c r="D232" s="7">
        <v>231</v>
      </c>
      <c r="E232" s="7" t="e">
        <f t="shared" si="6"/>
        <v>#REF!</v>
      </c>
      <c r="G232" s="7" t="str">
        <f t="shared" si="7"/>
        <v/>
      </c>
      <c r="H232" s="7" t="str">
        <f>IFERROR(VLOOKUP(G232,#REF!,2,FALSE),"")</f>
        <v/>
      </c>
    </row>
    <row r="233" spans="1:8" ht="15.75" thickBot="1" x14ac:dyDescent="0.3">
      <c r="A233" s="4" t="s">
        <v>138</v>
      </c>
      <c r="B233" s="6">
        <v>905</v>
      </c>
      <c r="C233" s="6" t="s">
        <v>119</v>
      </c>
      <c r="D233" s="7">
        <v>232</v>
      </c>
      <c r="E233" s="7" t="e">
        <f t="shared" si="6"/>
        <v>#REF!</v>
      </c>
      <c r="G233" s="7" t="str">
        <f t="shared" si="7"/>
        <v/>
      </c>
      <c r="H233" s="7" t="str">
        <f>IFERROR(VLOOKUP(G233,#REF!,2,FALSE),"")</f>
        <v/>
      </c>
    </row>
    <row r="234" spans="1:8" ht="15.75" thickBot="1" x14ac:dyDescent="0.3">
      <c r="A234" s="4" t="s">
        <v>136</v>
      </c>
      <c r="B234" s="6">
        <v>905</v>
      </c>
      <c r="C234" s="6" t="s">
        <v>119</v>
      </c>
      <c r="D234" s="7">
        <v>233</v>
      </c>
      <c r="E234" s="7" t="e">
        <f t="shared" si="6"/>
        <v>#REF!</v>
      </c>
      <c r="G234" s="7" t="str">
        <f t="shared" si="7"/>
        <v/>
      </c>
      <c r="H234" s="7" t="str">
        <f>IFERROR(VLOOKUP(G234,#REF!,2,FALSE),"")</f>
        <v/>
      </c>
    </row>
    <row r="235" spans="1:8" ht="15.75" thickBot="1" x14ac:dyDescent="0.3">
      <c r="A235" s="4" t="s">
        <v>137</v>
      </c>
      <c r="B235" s="6">
        <v>910</v>
      </c>
      <c r="C235" s="6" t="s">
        <v>44</v>
      </c>
      <c r="D235" s="7">
        <v>234</v>
      </c>
      <c r="E235" s="7" t="e">
        <f t="shared" si="6"/>
        <v>#REF!</v>
      </c>
      <c r="G235" s="7" t="str">
        <f t="shared" si="7"/>
        <v/>
      </c>
      <c r="H235" s="7" t="str">
        <f>IFERROR(VLOOKUP(G235,#REF!,2,FALSE),"")</f>
        <v/>
      </c>
    </row>
    <row r="236" spans="1:8" ht="15.75" thickBot="1" x14ac:dyDescent="0.3">
      <c r="A236" s="4" t="s">
        <v>138</v>
      </c>
      <c r="B236" s="6">
        <v>910</v>
      </c>
      <c r="C236" s="6" t="s">
        <v>44</v>
      </c>
      <c r="D236" s="7">
        <v>235</v>
      </c>
      <c r="E236" s="7" t="e">
        <f t="shared" si="6"/>
        <v>#REF!</v>
      </c>
      <c r="G236" s="7" t="str">
        <f t="shared" si="7"/>
        <v/>
      </c>
      <c r="H236" s="7" t="str">
        <f>IFERROR(VLOOKUP(G236,#REF!,2,FALSE),"")</f>
        <v/>
      </c>
    </row>
    <row r="237" spans="1:8" ht="15.75" thickBot="1" x14ac:dyDescent="0.3">
      <c r="A237" s="4" t="s">
        <v>137</v>
      </c>
      <c r="B237" s="6">
        <v>930</v>
      </c>
      <c r="C237" s="6" t="s">
        <v>56</v>
      </c>
      <c r="D237" s="7">
        <v>236</v>
      </c>
      <c r="E237" s="7" t="e">
        <f t="shared" si="6"/>
        <v>#REF!</v>
      </c>
      <c r="G237" s="7" t="str">
        <f t="shared" si="7"/>
        <v/>
      </c>
      <c r="H237" s="7" t="str">
        <f>IFERROR(VLOOKUP(G237,#REF!,2,FALSE),"")</f>
        <v/>
      </c>
    </row>
    <row r="238" spans="1:8" ht="15.75" thickBot="1" x14ac:dyDescent="0.3">
      <c r="A238" s="4" t="s">
        <v>138</v>
      </c>
      <c r="B238" s="6">
        <v>930</v>
      </c>
      <c r="C238" s="6" t="s">
        <v>56</v>
      </c>
      <c r="D238" s="7">
        <v>237</v>
      </c>
      <c r="E238" s="7" t="e">
        <f t="shared" si="6"/>
        <v>#REF!</v>
      </c>
      <c r="G238" s="7" t="str">
        <f t="shared" si="7"/>
        <v/>
      </c>
      <c r="H238" s="7" t="str">
        <f>IFERROR(VLOOKUP(G238,#REF!,2,FALSE),"")</f>
        <v/>
      </c>
    </row>
    <row r="239" spans="1:8" ht="15.75" thickBot="1" x14ac:dyDescent="0.3">
      <c r="A239" s="4" t="s">
        <v>137</v>
      </c>
      <c r="B239" s="6">
        <v>950</v>
      </c>
      <c r="C239" s="6" t="s">
        <v>11</v>
      </c>
      <c r="D239" s="7">
        <v>238</v>
      </c>
      <c r="E239" s="7" t="e">
        <f t="shared" si="6"/>
        <v>#REF!</v>
      </c>
      <c r="G239" s="7" t="str">
        <f t="shared" si="7"/>
        <v/>
      </c>
      <c r="H239" s="7" t="str">
        <f>IFERROR(VLOOKUP(G239,#REF!,2,FALSE),"")</f>
        <v/>
      </c>
    </row>
    <row r="240" spans="1:8" ht="15.75" thickBot="1" x14ac:dyDescent="0.3">
      <c r="A240" s="4" t="s">
        <v>138</v>
      </c>
      <c r="B240" s="6">
        <v>950</v>
      </c>
      <c r="C240" s="6" t="s">
        <v>11</v>
      </c>
      <c r="D240" s="7">
        <v>239</v>
      </c>
      <c r="E240" s="7" t="e">
        <f t="shared" si="6"/>
        <v>#REF!</v>
      </c>
      <c r="G240" s="7" t="str">
        <f t="shared" si="7"/>
        <v/>
      </c>
      <c r="H240" s="7" t="str">
        <f>IFERROR(VLOOKUP(G240,#REF!,2,FALSE),"")</f>
        <v/>
      </c>
    </row>
    <row r="241" spans="1:8" ht="15.75" thickBot="1" x14ac:dyDescent="0.3">
      <c r="A241" s="4" t="s">
        <v>137</v>
      </c>
      <c r="B241" s="6">
        <v>960</v>
      </c>
      <c r="C241" s="6" t="s">
        <v>67</v>
      </c>
      <c r="D241" s="7">
        <v>240</v>
      </c>
      <c r="E241" s="7" t="e">
        <f t="shared" si="6"/>
        <v>#REF!</v>
      </c>
      <c r="G241" s="7" t="str">
        <f t="shared" si="7"/>
        <v/>
      </c>
      <c r="H241" s="7" t="str">
        <f>IFERROR(VLOOKUP(G241,#REF!,2,FALSE),"")</f>
        <v/>
      </c>
    </row>
    <row r="242" spans="1:8" ht="15.75" thickBot="1" x14ac:dyDescent="0.3">
      <c r="A242" s="4" t="s">
        <v>138</v>
      </c>
      <c r="B242" s="6">
        <v>960</v>
      </c>
      <c r="C242" s="6" t="s">
        <v>67</v>
      </c>
      <c r="D242" s="7">
        <v>241</v>
      </c>
      <c r="E242" s="7" t="e">
        <f t="shared" si="6"/>
        <v>#REF!</v>
      </c>
      <c r="G242" s="7" t="str">
        <f t="shared" si="7"/>
        <v/>
      </c>
      <c r="H242" s="7" t="str">
        <f>IFERROR(VLOOKUP(G242,#REF!,2,FALSE),"")</f>
        <v/>
      </c>
    </row>
    <row r="243" spans="1:8" ht="15.75" thickBot="1" x14ac:dyDescent="0.3">
      <c r="A243" s="4" t="s">
        <v>137</v>
      </c>
      <c r="B243" s="6">
        <v>965</v>
      </c>
      <c r="C243" s="6" t="s">
        <v>1</v>
      </c>
      <c r="D243" s="7">
        <v>242</v>
      </c>
      <c r="E243" s="7" t="e">
        <f t="shared" si="6"/>
        <v>#REF!</v>
      </c>
      <c r="G243" s="7" t="str">
        <f t="shared" si="7"/>
        <v/>
      </c>
      <c r="H243" s="7" t="str">
        <f>IFERROR(VLOOKUP(G243,#REF!,2,FALSE),"")</f>
        <v/>
      </c>
    </row>
    <row r="244" spans="1:8" ht="15.75" thickBot="1" x14ac:dyDescent="0.3">
      <c r="A244" s="4" t="s">
        <v>138</v>
      </c>
      <c r="B244" s="6">
        <v>965</v>
      </c>
      <c r="C244" s="6" t="s">
        <v>1</v>
      </c>
      <c r="D244" s="7">
        <v>243</v>
      </c>
      <c r="E244" s="7" t="e">
        <f t="shared" si="6"/>
        <v>#REF!</v>
      </c>
      <c r="G244" s="7" t="str">
        <f t="shared" si="7"/>
        <v/>
      </c>
      <c r="H244" s="7" t="str">
        <f>IFERROR(VLOOKUP(G244,#REF!,2,FALSE),"")</f>
        <v/>
      </c>
    </row>
    <row r="245" spans="1:8" ht="15.75" thickBot="1" x14ac:dyDescent="0.3">
      <c r="A245" s="4" t="s">
        <v>137</v>
      </c>
      <c r="B245" s="6">
        <v>970</v>
      </c>
      <c r="C245" s="6" t="s">
        <v>22</v>
      </c>
      <c r="D245" s="7">
        <v>244</v>
      </c>
      <c r="E245" s="7" t="e">
        <f t="shared" si="6"/>
        <v>#REF!</v>
      </c>
      <c r="G245" s="7" t="str">
        <f t="shared" si="7"/>
        <v/>
      </c>
      <c r="H245" s="7" t="str">
        <f>IFERROR(VLOOKUP(G245,#REF!,2,FALSE),"")</f>
        <v/>
      </c>
    </row>
    <row r="246" spans="1:8" ht="15.75" thickBot="1" x14ac:dyDescent="0.3">
      <c r="A246" s="4" t="s">
        <v>138</v>
      </c>
      <c r="B246" s="6">
        <v>970</v>
      </c>
      <c r="C246" s="6" t="s">
        <v>22</v>
      </c>
      <c r="D246" s="7">
        <v>245</v>
      </c>
      <c r="E246" s="7" t="e">
        <f t="shared" si="6"/>
        <v>#REF!</v>
      </c>
      <c r="G246" s="7" t="str">
        <f t="shared" si="7"/>
        <v/>
      </c>
      <c r="H246" s="7" t="str">
        <f>IFERROR(VLOOKUP(G246,#REF!,2,FALSE),"")</f>
        <v/>
      </c>
    </row>
    <row r="247" spans="1:8" ht="15.75" thickBot="1" x14ac:dyDescent="0.3">
      <c r="A247" s="4" t="s">
        <v>137</v>
      </c>
      <c r="B247" s="6">
        <v>980</v>
      </c>
      <c r="C247" s="6" t="s">
        <v>91</v>
      </c>
      <c r="D247" s="7">
        <v>246</v>
      </c>
      <c r="E247" s="7" t="e">
        <f t="shared" si="6"/>
        <v>#REF!</v>
      </c>
      <c r="G247" s="7" t="str">
        <f t="shared" si="7"/>
        <v/>
      </c>
      <c r="H247" s="7" t="str">
        <f>IFERROR(VLOOKUP(G247,#REF!,2,FALSE),"")</f>
        <v/>
      </c>
    </row>
    <row r="248" spans="1:8" ht="15.75" thickBot="1" x14ac:dyDescent="0.3">
      <c r="A248" s="4" t="s">
        <v>138</v>
      </c>
      <c r="B248" s="6">
        <v>980</v>
      </c>
      <c r="C248" s="6" t="s">
        <v>91</v>
      </c>
      <c r="D248" s="7">
        <v>247</v>
      </c>
      <c r="E248" s="7" t="e">
        <f t="shared" si="6"/>
        <v>#REF!</v>
      </c>
      <c r="G248" s="7" t="str">
        <f t="shared" si="7"/>
        <v/>
      </c>
      <c r="H248" s="7" t="str">
        <f>IFERROR(VLOOKUP(G248,#REF!,2,FALSE),"")</f>
        <v/>
      </c>
    </row>
    <row r="249" spans="1:8" ht="15.75" thickBot="1" x14ac:dyDescent="0.3">
      <c r="A249" s="4" t="s">
        <v>137</v>
      </c>
      <c r="B249" s="6">
        <v>990</v>
      </c>
      <c r="C249" s="6" t="s">
        <v>90</v>
      </c>
      <c r="D249" s="7">
        <v>248</v>
      </c>
      <c r="E249" s="7" t="e">
        <f t="shared" si="6"/>
        <v>#REF!</v>
      </c>
      <c r="G249" s="7" t="str">
        <f t="shared" si="7"/>
        <v/>
      </c>
      <c r="H249" s="7" t="str">
        <f>IFERROR(VLOOKUP(G249,#REF!,2,FALSE),"")</f>
        <v/>
      </c>
    </row>
    <row r="250" spans="1:8" x14ac:dyDescent="0.25">
      <c r="A250" s="3" t="s">
        <v>138</v>
      </c>
      <c r="B250" s="1">
        <v>990</v>
      </c>
      <c r="C250" s="1" t="s">
        <v>90</v>
      </c>
      <c r="D250" s="7">
        <v>249</v>
      </c>
      <c r="E250" s="7" t="e">
        <f t="shared" si="6"/>
        <v>#REF!</v>
      </c>
      <c r="G250" s="7" t="str">
        <f t="shared" si="7"/>
        <v/>
      </c>
      <c r="H250" s="7" t="str">
        <f>IFERROR(VLOOKUP(G250,#REF!,2,FALSE),"")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J37"/>
  <sheetViews>
    <sheetView view="pageBreakPreview" zoomScale="70" zoomScaleNormal="60" zoomScaleSheetLayoutView="70" workbookViewId="0">
      <selection activeCell="B7" sqref="B7:G7"/>
    </sheetView>
  </sheetViews>
  <sheetFormatPr defaultRowHeight="15" x14ac:dyDescent="0.25"/>
  <cols>
    <col min="1" max="1" width="9.140625" style="8"/>
    <col min="2" max="2" width="47.7109375" style="8" customWidth="1"/>
    <col min="3" max="3" width="5.5703125" style="8" bestFit="1" customWidth="1"/>
    <col min="4" max="4" width="11.42578125" style="8" customWidth="1"/>
    <col min="5" max="5" width="11" style="8" customWidth="1"/>
    <col min="6" max="6" width="9" style="13" customWidth="1"/>
    <col min="7" max="7" width="9.7109375" style="8" customWidth="1"/>
    <col min="8" max="16384" width="9.140625" style="8"/>
  </cols>
  <sheetData>
    <row r="1" spans="2:10" ht="15.75" thickBot="1" x14ac:dyDescent="0.3"/>
    <row r="2" spans="2:10" x14ac:dyDescent="0.25">
      <c r="B2" s="384"/>
      <c r="C2" s="385"/>
      <c r="D2" s="385"/>
      <c r="E2" s="385"/>
      <c r="F2" s="400"/>
      <c r="G2" s="386"/>
    </row>
    <row r="3" spans="2:10" ht="18" x14ac:dyDescent="0.25">
      <c r="B3" s="546" t="s">
        <v>156</v>
      </c>
      <c r="C3" s="547"/>
      <c r="D3" s="547"/>
      <c r="E3" s="547"/>
      <c r="F3" s="547"/>
      <c r="G3" s="548"/>
      <c r="H3" s="14"/>
      <c r="I3" s="14"/>
      <c r="J3" s="14"/>
    </row>
    <row r="4" spans="2:10" s="317" customFormat="1" x14ac:dyDescent="0.25">
      <c r="B4" s="16"/>
      <c r="C4" s="17"/>
      <c r="D4" s="17"/>
      <c r="E4" s="18"/>
      <c r="F4" s="18"/>
      <c r="G4" s="19"/>
      <c r="H4" s="8"/>
      <c r="I4" s="8"/>
      <c r="J4" s="8"/>
    </row>
    <row r="5" spans="2:10" s="317" customFormat="1" ht="18" x14ac:dyDescent="0.2">
      <c r="B5" s="546" t="s">
        <v>155</v>
      </c>
      <c r="C5" s="547"/>
      <c r="D5" s="547"/>
      <c r="E5" s="547"/>
      <c r="F5" s="547"/>
      <c r="G5" s="548"/>
      <c r="H5" s="14"/>
      <c r="I5" s="14"/>
      <c r="J5" s="14"/>
    </row>
    <row r="6" spans="2:10" s="317" customFormat="1" ht="18" x14ac:dyDescent="0.2">
      <c r="B6" s="318"/>
      <c r="C6" s="319"/>
      <c r="D6" s="319"/>
      <c r="E6" s="319"/>
      <c r="F6" s="319"/>
      <c r="G6" s="320"/>
      <c r="H6" s="252"/>
      <c r="I6" s="252"/>
      <c r="J6" s="252"/>
    </row>
    <row r="7" spans="2:10" s="317" customFormat="1" ht="18" x14ac:dyDescent="0.2">
      <c r="B7" s="549" t="s">
        <v>531</v>
      </c>
      <c r="C7" s="550"/>
      <c r="D7" s="550"/>
      <c r="E7" s="550"/>
      <c r="F7" s="550"/>
      <c r="G7" s="551"/>
      <c r="H7" s="247"/>
      <c r="I7" s="247"/>
      <c r="J7" s="247"/>
    </row>
    <row r="8" spans="2:10" s="317" customFormat="1" x14ac:dyDescent="0.25">
      <c r="B8" s="16"/>
      <c r="C8" s="26"/>
      <c r="D8" s="26"/>
      <c r="E8" s="26"/>
      <c r="F8" s="26"/>
      <c r="G8" s="27"/>
      <c r="H8" s="12"/>
      <c r="I8" s="12"/>
      <c r="J8" s="12"/>
    </row>
    <row r="9" spans="2:10" s="317" customFormat="1" ht="18" x14ac:dyDescent="0.25">
      <c r="B9" s="549" t="s">
        <v>534</v>
      </c>
      <c r="C9" s="550"/>
      <c r="D9" s="550"/>
      <c r="E9" s="550"/>
      <c r="F9" s="550"/>
      <c r="G9" s="551"/>
      <c r="H9" s="12"/>
      <c r="I9" s="12"/>
      <c r="J9" s="12"/>
    </row>
    <row r="10" spans="2:10" s="317" customFormat="1" ht="15.75" thickBot="1" x14ac:dyDescent="0.3">
      <c r="B10" s="16"/>
      <c r="C10" s="26"/>
      <c r="D10" s="26"/>
      <c r="E10" s="26"/>
      <c r="F10" s="26"/>
      <c r="G10" s="27"/>
      <c r="H10" s="12"/>
      <c r="I10" s="12"/>
      <c r="J10" s="12"/>
    </row>
    <row r="11" spans="2:10" ht="36" customHeight="1" thickBot="1" x14ac:dyDescent="0.3">
      <c r="B11" s="614" t="s">
        <v>473</v>
      </c>
      <c r="C11" s="615"/>
      <c r="D11" s="615"/>
      <c r="E11" s="615"/>
      <c r="F11" s="615"/>
      <c r="G11" s="616"/>
    </row>
    <row r="12" spans="2:10" ht="16.5" thickBot="1" x14ac:dyDescent="0.3">
      <c r="B12" s="321"/>
      <c r="C12" s="322"/>
      <c r="D12" s="322"/>
      <c r="E12" s="322"/>
      <c r="F12" s="322"/>
      <c r="G12" s="323"/>
    </row>
    <row r="13" spans="2:10" x14ac:dyDescent="0.25">
      <c r="B13" s="324"/>
      <c r="C13" s="325"/>
      <c r="D13" s="325"/>
      <c r="E13" s="653" t="s">
        <v>474</v>
      </c>
      <c r="F13" s="654"/>
      <c r="G13" s="655"/>
      <c r="H13" s="317"/>
      <c r="I13" s="317"/>
    </row>
    <row r="14" spans="2:10" ht="15.75" thickBot="1" x14ac:dyDescent="0.3">
      <c r="B14" s="318"/>
      <c r="C14" s="319"/>
      <c r="D14" s="319"/>
      <c r="E14" s="326" t="s">
        <v>475</v>
      </c>
      <c r="F14" s="327" t="s">
        <v>476</v>
      </c>
      <c r="G14" s="328" t="s">
        <v>477</v>
      </c>
      <c r="H14" s="317"/>
      <c r="I14" s="317"/>
    </row>
    <row r="15" spans="2:10" x14ac:dyDescent="0.25">
      <c r="B15" s="329" t="s">
        <v>478</v>
      </c>
      <c r="C15" s="330" t="s">
        <v>479</v>
      </c>
      <c r="D15" s="331">
        <v>0.05</v>
      </c>
      <c r="E15" s="332">
        <v>2.9700000000000001E-2</v>
      </c>
      <c r="F15" s="333">
        <v>5.0799999999999998E-2</v>
      </c>
      <c r="G15" s="334">
        <v>6.2700000000000006E-2</v>
      </c>
      <c r="H15" s="317"/>
      <c r="I15" s="317"/>
    </row>
    <row r="16" spans="2:10" x14ac:dyDescent="0.25">
      <c r="B16" s="335" t="s">
        <v>480</v>
      </c>
      <c r="C16" s="336" t="s">
        <v>481</v>
      </c>
      <c r="D16" s="337">
        <v>0.01</v>
      </c>
      <c r="E16" s="332">
        <f>0.3%+0.56%</f>
        <v>8.6E-3</v>
      </c>
      <c r="F16" s="333">
        <f>0.48%+0.85%</f>
        <v>1.3299999999999999E-2</v>
      </c>
      <c r="G16" s="334">
        <f>0.82%+0.89%</f>
        <v>1.7099999999999997E-2</v>
      </c>
      <c r="H16" s="317"/>
      <c r="I16" s="317"/>
    </row>
    <row r="17" spans="2:9" x14ac:dyDescent="0.25">
      <c r="B17" s="335" t="s">
        <v>482</v>
      </c>
      <c r="C17" s="336" t="s">
        <v>395</v>
      </c>
      <c r="D17" s="337">
        <v>0.1</v>
      </c>
      <c r="E17" s="332">
        <v>7.7799999999999994E-2</v>
      </c>
      <c r="F17" s="333">
        <v>0.1085</v>
      </c>
      <c r="G17" s="334">
        <v>0.13550000000000001</v>
      </c>
      <c r="H17" s="317"/>
      <c r="I17" s="317"/>
    </row>
    <row r="18" spans="2:9" x14ac:dyDescent="0.25">
      <c r="B18" s="335" t="s">
        <v>483</v>
      </c>
      <c r="C18" s="336" t="s">
        <v>484</v>
      </c>
      <c r="D18" s="338">
        <f>(1+F18)^(F19/252)-1</f>
        <v>3.7555343627726501E-3</v>
      </c>
      <c r="E18" s="332" t="s">
        <v>485</v>
      </c>
      <c r="F18" s="339">
        <v>6.5000000000000002E-2</v>
      </c>
      <c r="G18" s="340"/>
      <c r="H18" s="317"/>
      <c r="I18" s="317"/>
    </row>
    <row r="19" spans="2:9" x14ac:dyDescent="0.25">
      <c r="B19" s="335" t="s">
        <v>486</v>
      </c>
      <c r="C19" s="656" t="s">
        <v>487</v>
      </c>
      <c r="D19" s="337">
        <v>0.03</v>
      </c>
      <c r="E19" s="341" t="s">
        <v>488</v>
      </c>
      <c r="F19" s="342">
        <v>15</v>
      </c>
      <c r="G19" s="257"/>
      <c r="H19" s="317"/>
      <c r="I19" s="317"/>
    </row>
    <row r="20" spans="2:9" ht="15.75" thickBot="1" x14ac:dyDescent="0.3">
      <c r="B20" s="343" t="s">
        <v>489</v>
      </c>
      <c r="C20" s="657"/>
      <c r="D20" s="344">
        <v>3.6499999999999998E-2</v>
      </c>
      <c r="E20" s="256"/>
      <c r="F20" s="345"/>
      <c r="G20" s="257"/>
      <c r="H20" s="317"/>
      <c r="I20" s="317"/>
    </row>
    <row r="21" spans="2:9" x14ac:dyDescent="0.25">
      <c r="B21" s="346" t="s">
        <v>490</v>
      </c>
      <c r="C21" s="347"/>
      <c r="D21" s="348"/>
      <c r="E21" s="256"/>
      <c r="F21" s="345"/>
      <c r="G21" s="257"/>
      <c r="H21" s="317"/>
      <c r="I21" s="317"/>
    </row>
    <row r="22" spans="2:9" ht="15.75" thickBot="1" x14ac:dyDescent="0.3">
      <c r="B22" s="349" t="s">
        <v>491</v>
      </c>
      <c r="C22" s="350"/>
      <c r="D22" s="351"/>
      <c r="E22" s="256"/>
      <c r="F22" s="345"/>
      <c r="G22" s="257"/>
      <c r="H22" s="317"/>
      <c r="I22" s="317"/>
    </row>
    <row r="23" spans="2:9" ht="15.75" thickBot="1" x14ac:dyDescent="0.3">
      <c r="B23" s="352" t="s">
        <v>492</v>
      </c>
      <c r="C23" s="353"/>
      <c r="D23" s="405">
        <f>ROUND((((1+D15+D16)*(1+D17)*(1+D18))/(1-(D19+D20))-1),4)</f>
        <v>0.25380000000000003</v>
      </c>
      <c r="E23" s="354">
        <v>0.21429999999999999</v>
      </c>
      <c r="F23" s="355">
        <v>0.2717</v>
      </c>
      <c r="G23" s="356">
        <v>0.3362</v>
      </c>
      <c r="H23" s="317"/>
      <c r="I23" s="317"/>
    </row>
    <row r="24" spans="2:9" ht="15.75" x14ac:dyDescent="0.25">
      <c r="B24" s="9"/>
      <c r="C24" s="10"/>
      <c r="D24" s="10"/>
      <c r="E24" s="10"/>
      <c r="F24" s="401"/>
      <c r="G24" s="11"/>
      <c r="H24" s="317"/>
      <c r="I24" s="317"/>
    </row>
    <row r="25" spans="2:9" ht="15.75" x14ac:dyDescent="0.25">
      <c r="B25" s="238"/>
      <c r="C25" s="370"/>
      <c r="D25" s="230" t="s">
        <v>529</v>
      </c>
      <c r="F25" s="358"/>
      <c r="G25" s="11"/>
      <c r="H25" s="317"/>
      <c r="I25" s="317"/>
    </row>
    <row r="26" spans="2:9" ht="15.75" x14ac:dyDescent="0.25">
      <c r="B26" s="238"/>
      <c r="C26" s="370"/>
      <c r="D26" s="230"/>
      <c r="F26" s="358"/>
      <c r="G26" s="11"/>
      <c r="H26" s="317"/>
      <c r="I26" s="317"/>
    </row>
    <row r="27" spans="2:9" ht="15.75" x14ac:dyDescent="0.25">
      <c r="B27" s="238"/>
      <c r="C27" s="370"/>
      <c r="D27" s="230"/>
      <c r="F27" s="358"/>
      <c r="G27" s="11"/>
      <c r="H27" s="317"/>
      <c r="I27" s="317"/>
    </row>
    <row r="28" spans="2:9" ht="15.75" x14ac:dyDescent="0.25">
      <c r="B28" s="238"/>
      <c r="C28" s="370"/>
      <c r="D28" s="230"/>
      <c r="F28" s="358"/>
      <c r="G28" s="11"/>
      <c r="H28" s="317"/>
      <c r="I28" s="317"/>
    </row>
    <row r="29" spans="2:9" ht="15.75" x14ac:dyDescent="0.25">
      <c r="B29" s="238"/>
      <c r="C29" s="370"/>
      <c r="D29" s="230"/>
      <c r="F29" s="358"/>
      <c r="G29" s="11"/>
      <c r="H29" s="317"/>
      <c r="I29" s="317"/>
    </row>
    <row r="30" spans="2:9" ht="15.75" x14ac:dyDescent="0.25">
      <c r="B30" s="238"/>
      <c r="C30" s="370"/>
      <c r="D30" s="230"/>
      <c r="F30" s="358"/>
      <c r="G30" s="11"/>
      <c r="H30" s="317"/>
      <c r="I30" s="317"/>
    </row>
    <row r="31" spans="2:9" ht="15.75" x14ac:dyDescent="0.25">
      <c r="B31" s="238"/>
      <c r="C31" s="358"/>
      <c r="D31" s="358"/>
      <c r="E31" s="10"/>
      <c r="F31" s="401"/>
      <c r="G31" s="11"/>
      <c r="H31" s="317"/>
      <c r="I31" s="317"/>
    </row>
    <row r="32" spans="2:9" ht="15.75" x14ac:dyDescent="0.25">
      <c r="B32" s="375"/>
      <c r="C32" s="376"/>
      <c r="D32" s="376"/>
      <c r="E32" s="10"/>
      <c r="F32" s="401"/>
      <c r="G32" s="11"/>
      <c r="H32" s="317"/>
      <c r="I32" s="317"/>
    </row>
    <row r="33" spans="2:7" ht="15.75" x14ac:dyDescent="0.25">
      <c r="B33" s="362"/>
      <c r="C33" s="363"/>
      <c r="D33" s="363"/>
      <c r="E33" s="583"/>
      <c r="F33" s="583"/>
      <c r="G33" s="652"/>
    </row>
    <row r="34" spans="2:7" ht="15.75" x14ac:dyDescent="0.25">
      <c r="B34" s="402" t="s">
        <v>168</v>
      </c>
      <c r="C34" s="370"/>
      <c r="D34" s="370"/>
      <c r="E34" s="581" t="s">
        <v>166</v>
      </c>
      <c r="F34" s="581"/>
      <c r="G34" s="648"/>
    </row>
    <row r="35" spans="2:7" ht="15.75" x14ac:dyDescent="0.25">
      <c r="B35" s="372" t="s">
        <v>172</v>
      </c>
      <c r="C35" s="370"/>
      <c r="D35" s="370"/>
      <c r="E35" s="582" t="s">
        <v>167</v>
      </c>
      <c r="F35" s="582"/>
      <c r="G35" s="649"/>
    </row>
    <row r="36" spans="2:7" ht="15.75" x14ac:dyDescent="0.25">
      <c r="B36" s="380"/>
      <c r="C36" s="370"/>
      <c r="D36" s="370"/>
      <c r="E36" s="370"/>
      <c r="F36" s="403"/>
      <c r="G36" s="378"/>
    </row>
    <row r="37" spans="2:7" ht="16.5" thickBot="1" x14ac:dyDescent="0.3">
      <c r="B37" s="381"/>
      <c r="C37" s="382"/>
      <c r="D37" s="382"/>
      <c r="E37" s="382"/>
      <c r="F37" s="404"/>
      <c r="G37" s="383"/>
    </row>
  </sheetData>
  <mergeCells count="10">
    <mergeCell ref="E33:G33"/>
    <mergeCell ref="E34:G34"/>
    <mergeCell ref="E35:G35"/>
    <mergeCell ref="B3:G3"/>
    <mergeCell ref="B5:G5"/>
    <mergeCell ref="B7:G7"/>
    <mergeCell ref="B11:G11"/>
    <mergeCell ref="E13:G13"/>
    <mergeCell ref="C19:C20"/>
    <mergeCell ref="B9:G9"/>
  </mergeCells>
  <pageMargins left="0.51181102362204722" right="0.51181102362204722" top="0.78740157480314965" bottom="0.78740157480314965" header="0.31496062992125984" footer="0.31496062992125984"/>
  <pageSetup paperSize="9" scale="97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7"/>
  <sheetViews>
    <sheetView view="pageBreakPreview" topLeftCell="A13" zoomScale="60" workbookViewId="0">
      <selection activeCell="H13" sqref="H13"/>
    </sheetView>
  </sheetViews>
  <sheetFormatPr defaultColWidth="9.140625" defaultRowHeight="12.75" x14ac:dyDescent="0.2"/>
  <cols>
    <col min="1" max="1" width="9.140625" style="163"/>
    <col min="2" max="2" width="13.5703125" style="163" customWidth="1"/>
    <col min="3" max="3" width="51" style="163" customWidth="1"/>
    <col min="4" max="4" width="35.42578125" style="163" customWidth="1"/>
    <col min="5" max="8" width="9.140625" style="163"/>
    <col min="9" max="9" width="11" style="163" bestFit="1" customWidth="1"/>
    <col min="10" max="16384" width="9.140625" style="163"/>
  </cols>
  <sheetData>
    <row r="1" spans="2:10" x14ac:dyDescent="0.2">
      <c r="B1" s="249"/>
      <c r="C1" s="250"/>
      <c r="D1" s="251"/>
    </row>
    <row r="2" spans="2:10" ht="18" x14ac:dyDescent="0.2">
      <c r="B2" s="546" t="s">
        <v>156</v>
      </c>
      <c r="C2" s="547"/>
      <c r="D2" s="548"/>
    </row>
    <row r="3" spans="2:10" ht="15" customHeight="1" x14ac:dyDescent="0.2">
      <c r="B3" s="450"/>
      <c r="C3" s="547"/>
      <c r="D3" s="548"/>
    </row>
    <row r="4" spans="2:10" ht="18" x14ac:dyDescent="0.2">
      <c r="B4" s="546" t="s">
        <v>155</v>
      </c>
      <c r="C4" s="547"/>
      <c r="D4" s="548"/>
    </row>
    <row r="5" spans="2:10" ht="15" customHeight="1" x14ac:dyDescent="0.2">
      <c r="B5" s="546"/>
      <c r="C5" s="547"/>
      <c r="D5" s="548"/>
    </row>
    <row r="6" spans="2:10" ht="18" x14ac:dyDescent="0.2">
      <c r="B6" s="549" t="s">
        <v>531</v>
      </c>
      <c r="C6" s="550"/>
      <c r="D6" s="551"/>
    </row>
    <row r="7" spans="2:10" ht="13.5" customHeight="1" x14ac:dyDescent="0.2">
      <c r="B7" s="453"/>
      <c r="C7" s="454"/>
      <c r="D7" s="455"/>
    </row>
    <row r="8" spans="2:10" ht="13.5" customHeight="1" x14ac:dyDescent="0.2">
      <c r="B8" s="549" t="s">
        <v>534</v>
      </c>
      <c r="C8" s="550"/>
      <c r="D8" s="551"/>
    </row>
    <row r="9" spans="2:10" ht="13.5" customHeight="1" thickBot="1" x14ac:dyDescent="0.25">
      <c r="B9" s="453"/>
      <c r="C9" s="454"/>
      <c r="D9" s="455"/>
    </row>
    <row r="10" spans="2:10" ht="24.75" customHeight="1" thickBot="1" x14ac:dyDescent="0.25">
      <c r="B10" s="614" t="s">
        <v>513</v>
      </c>
      <c r="C10" s="615"/>
      <c r="D10" s="616"/>
    </row>
    <row r="11" spans="2:10" ht="13.5" customHeight="1" thickBot="1" x14ac:dyDescent="0.25">
      <c r="B11" s="453"/>
      <c r="C11" s="454"/>
      <c r="D11" s="455"/>
    </row>
    <row r="12" spans="2:10" ht="15.75" thickBot="1" x14ac:dyDescent="0.25">
      <c r="B12" s="290" t="s">
        <v>147</v>
      </c>
      <c r="C12" s="291" t="s">
        <v>135</v>
      </c>
      <c r="D12" s="292" t="s">
        <v>363</v>
      </c>
    </row>
    <row r="13" spans="2:10" ht="14.25" x14ac:dyDescent="0.2">
      <c r="B13" s="294" t="s">
        <v>421</v>
      </c>
      <c r="C13" s="295" t="s">
        <v>422</v>
      </c>
      <c r="D13" s="296">
        <v>0.2</v>
      </c>
      <c r="E13" s="162"/>
      <c r="F13" s="162"/>
      <c r="G13" s="162"/>
      <c r="H13" s="162"/>
      <c r="I13" s="162"/>
      <c r="J13" s="162"/>
    </row>
    <row r="14" spans="2:10" ht="14.25" x14ac:dyDescent="0.2">
      <c r="B14" s="271" t="s">
        <v>423</v>
      </c>
      <c r="C14" s="297" t="s">
        <v>424</v>
      </c>
      <c r="D14" s="298">
        <v>1.4999999999999999E-2</v>
      </c>
      <c r="E14" s="162"/>
      <c r="F14" s="162"/>
      <c r="G14" s="162"/>
      <c r="H14" s="162"/>
      <c r="I14" s="162"/>
      <c r="J14" s="162"/>
    </row>
    <row r="15" spans="2:10" ht="14.25" x14ac:dyDescent="0.2">
      <c r="B15" s="271" t="s">
        <v>425</v>
      </c>
      <c r="C15" s="297" t="s">
        <v>426</v>
      </c>
      <c r="D15" s="298">
        <v>0.01</v>
      </c>
      <c r="E15" s="162"/>
      <c r="F15" s="162"/>
      <c r="G15" s="162"/>
      <c r="H15" s="162"/>
      <c r="I15" s="162"/>
      <c r="J15" s="162"/>
    </row>
    <row r="16" spans="2:10" ht="14.25" x14ac:dyDescent="0.2">
      <c r="B16" s="271" t="s">
        <v>427</v>
      </c>
      <c r="C16" s="297" t="s">
        <v>428</v>
      </c>
      <c r="D16" s="298">
        <v>2E-3</v>
      </c>
      <c r="E16" s="162"/>
      <c r="F16" s="162"/>
      <c r="G16" s="162"/>
      <c r="H16" s="162"/>
      <c r="I16" s="162"/>
      <c r="J16" s="162"/>
    </row>
    <row r="17" spans="2:10" ht="14.25" x14ac:dyDescent="0.2">
      <c r="B17" s="271" t="s">
        <v>429</v>
      </c>
      <c r="C17" s="297" t="s">
        <v>430</v>
      </c>
      <c r="D17" s="298">
        <v>6.0000000000000001E-3</v>
      </c>
      <c r="E17" s="162"/>
      <c r="F17" s="162"/>
      <c r="G17" s="162"/>
      <c r="H17" s="162"/>
      <c r="I17" s="162"/>
      <c r="J17" s="162"/>
    </row>
    <row r="18" spans="2:10" ht="14.25" x14ac:dyDescent="0.2">
      <c r="B18" s="271" t="s">
        <v>431</v>
      </c>
      <c r="C18" s="297" t="s">
        <v>432</v>
      </c>
      <c r="D18" s="298">
        <v>2.5000000000000001E-2</v>
      </c>
      <c r="E18" s="162"/>
      <c r="F18" s="162"/>
      <c r="G18" s="162"/>
      <c r="H18" s="162"/>
      <c r="I18" s="162"/>
      <c r="J18" s="162"/>
    </row>
    <row r="19" spans="2:10" ht="14.25" x14ac:dyDescent="0.2">
      <c r="B19" s="271" t="s">
        <v>433</v>
      </c>
      <c r="C19" s="297" t="s">
        <v>434</v>
      </c>
      <c r="D19" s="298">
        <v>0.03</v>
      </c>
      <c r="E19" s="162"/>
      <c r="F19" s="162"/>
      <c r="G19" s="162"/>
      <c r="H19" s="162"/>
      <c r="I19" s="162"/>
      <c r="J19" s="162"/>
    </row>
    <row r="20" spans="2:10" ht="14.25" x14ac:dyDescent="0.2">
      <c r="B20" s="271" t="s">
        <v>435</v>
      </c>
      <c r="C20" s="297" t="s">
        <v>436</v>
      </c>
      <c r="D20" s="298">
        <v>0.08</v>
      </c>
      <c r="E20" s="162"/>
      <c r="F20" s="162"/>
      <c r="G20" s="162"/>
      <c r="H20" s="162"/>
      <c r="I20" s="162"/>
      <c r="J20" s="162"/>
    </row>
    <row r="21" spans="2:10" ht="15" x14ac:dyDescent="0.2">
      <c r="B21" s="271" t="s">
        <v>437</v>
      </c>
      <c r="C21" s="299" t="s">
        <v>438</v>
      </c>
      <c r="D21" s="300">
        <f>SUM(D13:D20)</f>
        <v>0.36800000000000005</v>
      </c>
      <c r="E21" s="162"/>
      <c r="F21" s="162"/>
      <c r="G21" s="162"/>
      <c r="H21" s="162"/>
      <c r="I21" s="162"/>
      <c r="J21" s="162"/>
    </row>
    <row r="22" spans="2:10" ht="15" x14ac:dyDescent="0.2">
      <c r="B22" s="301"/>
      <c r="C22" s="302"/>
      <c r="D22" s="303"/>
      <c r="E22" s="162"/>
      <c r="F22" s="162"/>
      <c r="G22" s="162"/>
      <c r="H22" s="162"/>
      <c r="I22" s="162"/>
      <c r="J22" s="162"/>
    </row>
    <row r="23" spans="2:10" ht="18" customHeight="1" x14ac:dyDescent="0.2">
      <c r="B23" s="271" t="s">
        <v>439</v>
      </c>
      <c r="C23" s="304" t="s">
        <v>440</v>
      </c>
      <c r="D23" s="298">
        <f>ROUND(IF('[1]3.CAGED'!C37&gt;24,(1-12/'[1]3.CAGED'!C37)*0.1111,0.1111-D32),4)</f>
        <v>4.9000000000000002E-2</v>
      </c>
      <c r="E23" s="162"/>
      <c r="F23" s="162"/>
      <c r="G23" s="162"/>
      <c r="H23" s="162"/>
      <c r="I23" s="162"/>
      <c r="J23" s="162"/>
    </row>
    <row r="24" spans="2:10" ht="19.5" customHeight="1" x14ac:dyDescent="0.2">
      <c r="B24" s="271" t="s">
        <v>441</v>
      </c>
      <c r="C24" s="304" t="s">
        <v>442</v>
      </c>
      <c r="D24" s="298">
        <f>ROUND('[1]3.CAGED'!C31/'[1]3.CAGED'!C28,4)</f>
        <v>8.3299999999999999E-2</v>
      </c>
      <c r="E24" s="162"/>
      <c r="F24" s="162"/>
      <c r="G24" s="162"/>
      <c r="H24" s="162"/>
      <c r="I24" s="162"/>
      <c r="J24" s="162"/>
    </row>
    <row r="25" spans="2:10" ht="14.25" x14ac:dyDescent="0.2">
      <c r="B25" s="271" t="s">
        <v>443</v>
      </c>
      <c r="C25" s="304" t="s">
        <v>444</v>
      </c>
      <c r="D25" s="298">
        <v>5.9999999999999995E-4</v>
      </c>
      <c r="E25" s="162"/>
      <c r="F25" s="162"/>
      <c r="G25" s="162"/>
      <c r="H25" s="162"/>
      <c r="I25" s="162"/>
      <c r="J25" s="162"/>
    </row>
    <row r="26" spans="2:10" ht="19.5" customHeight="1" x14ac:dyDescent="0.2">
      <c r="B26" s="271" t="s">
        <v>445</v>
      </c>
      <c r="C26" s="304" t="s">
        <v>446</v>
      </c>
      <c r="D26" s="298">
        <v>8.2000000000000007E-3</v>
      </c>
      <c r="E26" s="162"/>
      <c r="F26" s="162"/>
      <c r="G26" s="162"/>
      <c r="H26" s="162"/>
      <c r="I26" s="162"/>
      <c r="J26" s="162"/>
    </row>
    <row r="27" spans="2:10" ht="19.5" customHeight="1" x14ac:dyDescent="0.2">
      <c r="B27" s="271" t="s">
        <v>447</v>
      </c>
      <c r="C27" s="304" t="s">
        <v>448</v>
      </c>
      <c r="D27" s="298">
        <v>3.0999999999999999E-3</v>
      </c>
      <c r="E27" s="162"/>
      <c r="F27" s="162"/>
      <c r="G27" s="162"/>
      <c r="H27" s="162"/>
      <c r="I27" s="162"/>
      <c r="J27" s="162"/>
    </row>
    <row r="28" spans="2:10" ht="14.25" x14ac:dyDescent="0.2">
      <c r="B28" s="271" t="s">
        <v>449</v>
      </c>
      <c r="C28" s="304" t="s">
        <v>450</v>
      </c>
      <c r="D28" s="298">
        <v>1.66E-2</v>
      </c>
      <c r="E28" s="162"/>
      <c r="F28" s="162"/>
      <c r="G28" s="162"/>
      <c r="H28" s="162"/>
      <c r="I28" s="162"/>
      <c r="J28" s="162"/>
    </row>
    <row r="29" spans="2:10" ht="15" x14ac:dyDescent="0.2">
      <c r="B29" s="271" t="s">
        <v>451</v>
      </c>
      <c r="C29" s="299" t="s">
        <v>452</v>
      </c>
      <c r="D29" s="300">
        <f>SUM(D23:D28)</f>
        <v>0.1608</v>
      </c>
      <c r="E29" s="162"/>
      <c r="F29" s="162"/>
      <c r="G29" s="162"/>
      <c r="H29" s="162"/>
      <c r="I29" s="162"/>
      <c r="J29" s="162"/>
    </row>
    <row r="30" spans="2:10" ht="15" x14ac:dyDescent="0.2">
      <c r="B30" s="301"/>
      <c r="C30" s="302"/>
      <c r="D30" s="303"/>
      <c r="E30" s="162"/>
      <c r="F30" s="162"/>
      <c r="G30" s="162"/>
      <c r="H30" s="162"/>
      <c r="I30" s="162"/>
      <c r="J30" s="162"/>
    </row>
    <row r="31" spans="2:10" ht="14.25" x14ac:dyDescent="0.2">
      <c r="B31" s="271" t="s">
        <v>453</v>
      </c>
      <c r="C31" s="297" t="s">
        <v>454</v>
      </c>
      <c r="D31" s="298">
        <f>ROUND(('[1]3.CAGED'!C36) *'[1]3.CAGED'!C27/'[1]3.CAGED'!C28,4)</f>
        <v>4.48E-2</v>
      </c>
      <c r="E31" s="162"/>
      <c r="F31" s="162"/>
      <c r="G31" s="162"/>
      <c r="H31" s="162"/>
      <c r="I31" s="162"/>
      <c r="J31" s="162"/>
    </row>
    <row r="32" spans="2:10" ht="14.25" x14ac:dyDescent="0.2">
      <c r="B32" s="271" t="s">
        <v>455</v>
      </c>
      <c r="C32" s="297" t="s">
        <v>456</v>
      </c>
      <c r="D32" s="298">
        <f>ROUND(IF('[1]3.CAGED'!C37&gt;12,12/'[1]3.CAGED'!C37*0.1111,0.1111),4)</f>
        <v>6.2100000000000002E-2</v>
      </c>
      <c r="E32" s="162"/>
      <c r="F32" s="305"/>
      <c r="G32" s="162"/>
      <c r="H32" s="162"/>
      <c r="I32" s="162"/>
      <c r="J32" s="162"/>
    </row>
    <row r="33" spans="2:10" ht="14.25" x14ac:dyDescent="0.2">
      <c r="B33" s="271" t="s">
        <v>457</v>
      </c>
      <c r="C33" s="297" t="s">
        <v>458</v>
      </c>
      <c r="D33" s="298">
        <f>ROUND(('[1]3.CAGED'!C30+'[1]3.CAGED'!C29)/360*D31,4)</f>
        <v>5.0000000000000001E-3</v>
      </c>
      <c r="E33" s="162"/>
      <c r="F33" s="162"/>
      <c r="G33" s="162"/>
      <c r="H33" s="162"/>
      <c r="I33" s="162"/>
      <c r="J33" s="162"/>
    </row>
    <row r="34" spans="2:10" ht="14.25" x14ac:dyDescent="0.2">
      <c r="B34" s="271" t="s">
        <v>459</v>
      </c>
      <c r="C34" s="297" t="s">
        <v>460</v>
      </c>
      <c r="D34" s="298">
        <f>ROUND(('[1]3.CAGED'!C28+'[1]3.CAGED'!C29+'[1]3.CAGED'!C31)/'[1]3.CAGED'!C26*'[1]3.CAGED'!C33*'[1]3.CAGED'!C34*'[1]3.CAGED'!C27/'[1]3.CAGED'!C28,4)</f>
        <v>3.8899999999999997E-2</v>
      </c>
      <c r="E34" s="306"/>
      <c r="F34" s="162"/>
      <c r="G34" s="162"/>
      <c r="H34" s="162"/>
      <c r="I34" s="162"/>
      <c r="J34" s="162"/>
    </row>
    <row r="35" spans="2:10" ht="14.25" x14ac:dyDescent="0.2">
      <c r="B35" s="271" t="s">
        <v>461</v>
      </c>
      <c r="C35" s="297" t="s">
        <v>462</v>
      </c>
      <c r="D35" s="298">
        <f>ROUND(('[1]3.CAGED'!C30/'[1]3.CAGED'!C28)*'[1]3.CAGED'!C27/12,4)</f>
        <v>3.3999999999999998E-3</v>
      </c>
      <c r="E35" s="162"/>
      <c r="F35" s="162"/>
      <c r="G35" s="162"/>
      <c r="H35" s="162"/>
      <c r="I35" s="162"/>
      <c r="J35" s="162"/>
    </row>
    <row r="36" spans="2:10" ht="15" x14ac:dyDescent="0.2">
      <c r="B36" s="271" t="s">
        <v>463</v>
      </c>
      <c r="C36" s="299" t="s">
        <v>464</v>
      </c>
      <c r="D36" s="300">
        <f>SUM(D31:D35)</f>
        <v>0.15419999999999998</v>
      </c>
      <c r="E36" s="162"/>
      <c r="F36" s="162"/>
      <c r="G36" s="162"/>
      <c r="H36" s="162"/>
      <c r="I36" s="162"/>
      <c r="J36" s="162"/>
    </row>
    <row r="37" spans="2:10" ht="15" x14ac:dyDescent="0.2">
      <c r="B37" s="301"/>
      <c r="C37" s="302"/>
      <c r="D37" s="303"/>
      <c r="E37" s="162"/>
      <c r="F37" s="162"/>
      <c r="G37" s="162"/>
      <c r="H37" s="162"/>
      <c r="I37" s="162"/>
      <c r="J37" s="162"/>
    </row>
    <row r="38" spans="2:10" ht="19.5" customHeight="1" x14ac:dyDescent="0.2">
      <c r="B38" s="271" t="s">
        <v>465</v>
      </c>
      <c r="C38" s="297" t="s">
        <v>466</v>
      </c>
      <c r="D38" s="298">
        <f>ROUND(D21*D29,4)</f>
        <v>5.9200000000000003E-2</v>
      </c>
      <c r="E38" s="162"/>
      <c r="F38" s="162"/>
      <c r="G38" s="162"/>
      <c r="H38" s="162"/>
      <c r="I38" s="162"/>
      <c r="J38" s="162"/>
    </row>
    <row r="39" spans="2:10" ht="28.5" x14ac:dyDescent="0.2">
      <c r="B39" s="271" t="s">
        <v>467</v>
      </c>
      <c r="C39" s="307" t="s">
        <v>468</v>
      </c>
      <c r="D39" s="298">
        <f>ROUND((D31*D21),4)</f>
        <v>1.6500000000000001E-2</v>
      </c>
      <c r="E39" s="162"/>
      <c r="F39" s="162"/>
      <c r="G39" s="162"/>
      <c r="H39" s="162"/>
      <c r="I39" s="162"/>
      <c r="J39" s="162"/>
    </row>
    <row r="40" spans="2:10" ht="15" x14ac:dyDescent="0.2">
      <c r="B40" s="271" t="s">
        <v>469</v>
      </c>
      <c r="C40" s="299" t="s">
        <v>470</v>
      </c>
      <c r="D40" s="300">
        <f>SUM(D38:D39)</f>
        <v>7.5700000000000003E-2</v>
      </c>
      <c r="E40" s="162"/>
      <c r="F40" s="162"/>
      <c r="G40" s="162"/>
      <c r="H40" s="162"/>
      <c r="I40" s="162"/>
      <c r="J40" s="162"/>
    </row>
    <row r="41" spans="2:10" ht="15.75" thickBot="1" x14ac:dyDescent="0.25">
      <c r="B41" s="308"/>
      <c r="C41" s="309" t="s">
        <v>471</v>
      </c>
      <c r="D41" s="310">
        <f>D40+D36+D29+D21</f>
        <v>0.75870000000000004</v>
      </c>
      <c r="E41" s="162"/>
      <c r="F41" s="162"/>
      <c r="G41" s="162"/>
      <c r="H41" s="162"/>
      <c r="I41" s="162"/>
      <c r="J41" s="162"/>
    </row>
    <row r="42" spans="2:10" ht="15" x14ac:dyDescent="0.2">
      <c r="B42" s="406"/>
      <c r="C42" s="407"/>
      <c r="D42" s="408"/>
      <c r="E42" s="162"/>
      <c r="F42" s="162"/>
      <c r="G42" s="162"/>
      <c r="H42" s="162"/>
      <c r="I42" s="162"/>
      <c r="J42" s="162"/>
    </row>
    <row r="43" spans="2:10" ht="15.75" x14ac:dyDescent="0.2">
      <c r="B43" s="238"/>
      <c r="C43" s="230" t="s">
        <v>530</v>
      </c>
      <c r="D43" s="259"/>
      <c r="E43" s="162"/>
      <c r="F43" s="162"/>
      <c r="G43" s="162"/>
      <c r="H43" s="162"/>
      <c r="I43" s="162"/>
      <c r="J43" s="162"/>
    </row>
    <row r="44" spans="2:10" ht="15.75" x14ac:dyDescent="0.2">
      <c r="B44" s="238"/>
      <c r="C44" s="230"/>
      <c r="D44" s="259"/>
      <c r="E44" s="162"/>
      <c r="F44" s="162"/>
      <c r="G44" s="162"/>
      <c r="H44" s="162"/>
      <c r="I44" s="162"/>
      <c r="J44" s="162"/>
    </row>
    <row r="45" spans="2:10" ht="15.75" x14ac:dyDescent="0.2">
      <c r="B45" s="238"/>
      <c r="C45" s="230"/>
      <c r="D45" s="259"/>
      <c r="E45" s="162"/>
      <c r="F45" s="162"/>
      <c r="G45" s="162"/>
      <c r="H45" s="162"/>
      <c r="I45" s="162"/>
      <c r="J45" s="162"/>
    </row>
    <row r="46" spans="2:10" ht="15.75" x14ac:dyDescent="0.2">
      <c r="B46" s="238"/>
      <c r="C46" s="230"/>
      <c r="D46" s="259"/>
      <c r="E46" s="162"/>
      <c r="F46" s="162"/>
      <c r="G46" s="162"/>
      <c r="H46" s="162"/>
      <c r="I46" s="162"/>
      <c r="J46" s="162"/>
    </row>
    <row r="47" spans="2:10" ht="15.75" x14ac:dyDescent="0.2">
      <c r="B47" s="238"/>
      <c r="C47" s="230"/>
      <c r="D47" s="259"/>
      <c r="E47" s="162"/>
      <c r="F47" s="162"/>
      <c r="G47" s="162"/>
      <c r="H47" s="162"/>
      <c r="I47" s="162"/>
      <c r="J47" s="162"/>
    </row>
    <row r="48" spans="2:10" ht="15.75" x14ac:dyDescent="0.2">
      <c r="B48" s="238"/>
      <c r="C48" s="230"/>
      <c r="D48" s="259"/>
      <c r="E48" s="162"/>
      <c r="F48" s="162"/>
      <c r="G48" s="162"/>
      <c r="H48" s="162"/>
      <c r="I48" s="162"/>
      <c r="J48" s="162"/>
    </row>
    <row r="49" spans="2:10" ht="15.75" x14ac:dyDescent="0.2">
      <c r="B49" s="238"/>
      <c r="C49" s="358"/>
      <c r="D49" s="357"/>
      <c r="E49" s="162"/>
      <c r="F49" s="162"/>
      <c r="G49" s="162"/>
      <c r="H49" s="162"/>
      <c r="I49" s="162"/>
      <c r="J49" s="162"/>
    </row>
    <row r="50" spans="2:10" ht="15.75" x14ac:dyDescent="0.2">
      <c r="B50" s="359"/>
      <c r="C50" s="360"/>
      <c r="D50" s="361"/>
      <c r="E50" s="162"/>
      <c r="F50" s="162"/>
      <c r="G50" s="162"/>
      <c r="H50" s="162"/>
      <c r="I50" s="162"/>
      <c r="J50" s="162"/>
    </row>
    <row r="51" spans="2:10" ht="15" x14ac:dyDescent="0.2">
      <c r="B51" s="362" t="s">
        <v>472</v>
      </c>
      <c r="C51" s="363"/>
      <c r="D51" s="373" t="s">
        <v>516</v>
      </c>
      <c r="E51" s="162"/>
      <c r="F51" s="162"/>
      <c r="G51" s="162"/>
      <c r="H51" s="162"/>
      <c r="I51" s="162"/>
      <c r="J51" s="162"/>
    </row>
    <row r="52" spans="2:10" ht="15" x14ac:dyDescent="0.2">
      <c r="B52" s="658" t="s">
        <v>168</v>
      </c>
      <c r="C52" s="581"/>
      <c r="D52" s="459" t="s">
        <v>166</v>
      </c>
      <c r="E52" s="162"/>
      <c r="F52" s="162"/>
      <c r="G52" s="162"/>
      <c r="H52" s="162"/>
      <c r="I52" s="162"/>
      <c r="J52" s="162"/>
    </row>
    <row r="53" spans="2:10" ht="23.25" customHeight="1" x14ac:dyDescent="0.2">
      <c r="B53" s="659" t="s">
        <v>172</v>
      </c>
      <c r="C53" s="582"/>
      <c r="D53" s="460" t="s">
        <v>167</v>
      </c>
      <c r="E53" s="162"/>
      <c r="F53" s="162"/>
      <c r="G53" s="162"/>
      <c r="H53" s="162"/>
      <c r="I53" s="162"/>
      <c r="J53" s="162"/>
    </row>
    <row r="54" spans="2:10" ht="15.75" thickBot="1" x14ac:dyDescent="0.25">
      <c r="B54" s="364"/>
      <c r="C54" s="365"/>
      <c r="D54" s="366"/>
      <c r="E54" s="162"/>
      <c r="F54" s="162"/>
      <c r="G54" s="162"/>
      <c r="H54" s="162"/>
      <c r="I54" s="162"/>
      <c r="J54" s="162"/>
    </row>
    <row r="55" spans="2:10" ht="55.5" customHeight="1" x14ac:dyDescent="0.2">
      <c r="B55" s="311"/>
      <c r="C55" s="312"/>
      <c r="D55" s="312"/>
      <c r="E55" s="162"/>
      <c r="F55" s="162"/>
      <c r="G55" s="162"/>
      <c r="H55" s="162"/>
      <c r="I55" s="162"/>
      <c r="J55" s="162"/>
    </row>
    <row r="56" spans="2:10" ht="14.25" x14ac:dyDescent="0.2">
      <c r="B56" s="293"/>
      <c r="C56" s="313"/>
      <c r="D56" s="312"/>
      <c r="E56" s="162"/>
      <c r="F56" s="162"/>
      <c r="G56" s="162"/>
      <c r="H56" s="162"/>
      <c r="I56" s="162"/>
      <c r="J56" s="162"/>
    </row>
    <row r="57" spans="2:10" ht="14.25" x14ac:dyDescent="0.2">
      <c r="B57" s="293"/>
      <c r="C57" s="313"/>
      <c r="D57" s="293"/>
      <c r="E57" s="162"/>
      <c r="F57" s="162"/>
      <c r="G57" s="162"/>
      <c r="H57" s="162"/>
      <c r="I57" s="162"/>
      <c r="J57" s="162"/>
    </row>
    <row r="58" spans="2:10" ht="14.25" x14ac:dyDescent="0.2">
      <c r="B58" s="293"/>
      <c r="C58" s="314"/>
      <c r="D58" s="312"/>
      <c r="E58" s="162"/>
      <c r="F58" s="162"/>
      <c r="G58" s="162"/>
      <c r="H58" s="162"/>
      <c r="I58" s="162"/>
      <c r="J58" s="162"/>
    </row>
    <row r="59" spans="2:10" ht="14.25" x14ac:dyDescent="0.2">
      <c r="B59" s="293"/>
      <c r="C59" s="313"/>
      <c r="D59" s="293"/>
      <c r="E59" s="162"/>
      <c r="F59" s="162"/>
      <c r="G59" s="162"/>
      <c r="H59" s="162"/>
      <c r="I59" s="162"/>
      <c r="J59" s="162"/>
    </row>
    <row r="60" spans="2:10" ht="14.25" x14ac:dyDescent="0.2">
      <c r="B60" s="293"/>
      <c r="C60" s="314"/>
      <c r="D60" s="312"/>
      <c r="E60" s="162"/>
      <c r="F60" s="162"/>
      <c r="G60" s="162"/>
      <c r="H60" s="162"/>
      <c r="I60" s="162"/>
      <c r="J60" s="162"/>
    </row>
    <row r="61" spans="2:10" ht="14.25" x14ac:dyDescent="0.2">
      <c r="B61" s="293"/>
      <c r="C61" s="313"/>
      <c r="D61" s="293"/>
      <c r="E61" s="162"/>
      <c r="F61" s="162"/>
      <c r="G61" s="162"/>
      <c r="H61" s="162"/>
      <c r="I61" s="162"/>
      <c r="J61" s="162"/>
    </row>
    <row r="62" spans="2:10" ht="14.25" x14ac:dyDescent="0.2">
      <c r="B62" s="293"/>
      <c r="C62" s="314"/>
      <c r="D62" s="312"/>
      <c r="E62" s="162"/>
      <c r="F62" s="162"/>
      <c r="G62" s="162"/>
      <c r="H62" s="162"/>
      <c r="I62" s="162"/>
      <c r="J62" s="162"/>
    </row>
    <row r="63" spans="2:10" ht="14.25" x14ac:dyDescent="0.2">
      <c r="B63" s="293"/>
      <c r="C63" s="313"/>
      <c r="D63" s="293"/>
      <c r="E63" s="162"/>
      <c r="F63" s="162"/>
      <c r="G63" s="162"/>
      <c r="H63" s="162"/>
      <c r="I63" s="162"/>
      <c r="J63" s="162"/>
    </row>
    <row r="64" spans="2:10" ht="14.25" x14ac:dyDescent="0.2">
      <c r="B64" s="293"/>
      <c r="C64" s="314"/>
      <c r="D64" s="312"/>
      <c r="E64" s="162"/>
      <c r="F64" s="162"/>
      <c r="G64" s="162"/>
      <c r="H64" s="162"/>
      <c r="I64" s="162"/>
      <c r="J64" s="162"/>
    </row>
    <row r="65" spans="2:10" ht="16.5" x14ac:dyDescent="0.2">
      <c r="B65" s="315"/>
      <c r="C65" s="162"/>
      <c r="D65" s="162"/>
      <c r="E65" s="162"/>
      <c r="F65" s="162"/>
      <c r="G65" s="162"/>
      <c r="H65" s="162"/>
      <c r="I65" s="162"/>
      <c r="J65" s="162"/>
    </row>
    <row r="66" spans="2:10" x14ac:dyDescent="0.2">
      <c r="B66" s="162"/>
      <c r="C66" s="162"/>
      <c r="D66" s="162"/>
      <c r="E66" s="162"/>
      <c r="F66" s="162"/>
      <c r="G66" s="162"/>
      <c r="H66" s="162"/>
      <c r="I66" s="162"/>
      <c r="J66" s="162"/>
    </row>
    <row r="67" spans="2:10" x14ac:dyDescent="0.2">
      <c r="B67" s="162"/>
      <c r="C67" s="162"/>
      <c r="D67" s="162"/>
      <c r="E67" s="162"/>
      <c r="F67" s="162"/>
      <c r="G67" s="162"/>
      <c r="H67" s="162"/>
      <c r="I67" s="162"/>
      <c r="J67" s="162"/>
    </row>
    <row r="68" spans="2:10" x14ac:dyDescent="0.2">
      <c r="B68" s="316"/>
      <c r="C68" s="162"/>
      <c r="D68" s="162"/>
      <c r="E68" s="162"/>
      <c r="F68" s="162"/>
      <c r="G68" s="162"/>
      <c r="H68" s="162"/>
      <c r="I68" s="162"/>
      <c r="J68" s="162"/>
    </row>
    <row r="69" spans="2:10" x14ac:dyDescent="0.2">
      <c r="B69" s="162"/>
      <c r="C69" s="162"/>
      <c r="D69" s="162"/>
    </row>
    <row r="70" spans="2:10" x14ac:dyDescent="0.2">
      <c r="B70" s="162"/>
      <c r="C70" s="162"/>
      <c r="D70" s="162"/>
    </row>
    <row r="71" spans="2:10" x14ac:dyDescent="0.2">
      <c r="B71" s="162"/>
      <c r="C71" s="162"/>
      <c r="D71" s="162"/>
    </row>
    <row r="72" spans="2:10" x14ac:dyDescent="0.2">
      <c r="B72" s="162"/>
      <c r="C72" s="162"/>
      <c r="D72" s="162"/>
    </row>
    <row r="73" spans="2:10" x14ac:dyDescent="0.2">
      <c r="B73" s="162"/>
      <c r="C73" s="162"/>
      <c r="D73" s="162"/>
    </row>
    <row r="74" spans="2:10" x14ac:dyDescent="0.2">
      <c r="B74" s="162"/>
      <c r="C74" s="162"/>
      <c r="D74" s="162"/>
    </row>
    <row r="75" spans="2:10" x14ac:dyDescent="0.2">
      <c r="B75" s="162"/>
      <c r="C75" s="162"/>
      <c r="D75" s="162"/>
    </row>
    <row r="76" spans="2:10" x14ac:dyDescent="0.2">
      <c r="B76" s="162"/>
      <c r="C76" s="162"/>
      <c r="D76" s="162"/>
    </row>
    <row r="77" spans="2:10" x14ac:dyDescent="0.2">
      <c r="B77" s="162"/>
      <c r="C77" s="162"/>
      <c r="D77" s="162"/>
    </row>
  </sheetData>
  <mergeCells count="9">
    <mergeCell ref="B52:C52"/>
    <mergeCell ref="B53:C53"/>
    <mergeCell ref="B2:D2"/>
    <mergeCell ref="C3:D3"/>
    <mergeCell ref="B4:D4"/>
    <mergeCell ref="B5:D5"/>
    <mergeCell ref="B6:D6"/>
    <mergeCell ref="B8:D8"/>
    <mergeCell ref="B10:D10"/>
  </mergeCells>
  <pageMargins left="1.1023622047244095" right="0.51181102362204722" top="0.78740157480314965" bottom="0.78740157480314965" header="0.31496062992125984" footer="0.31496062992125984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8"/>
  <sheetViews>
    <sheetView tabSelected="1" workbookViewId="0">
      <selection activeCell="I34" sqref="I34"/>
    </sheetView>
  </sheetViews>
  <sheetFormatPr defaultColWidth="9.140625" defaultRowHeight="12.75" x14ac:dyDescent="0.2"/>
  <cols>
    <col min="1" max="1" width="9.140625" style="163"/>
    <col min="2" max="2" width="70.42578125" style="163" customWidth="1"/>
    <col min="3" max="4" width="9.140625" style="163"/>
    <col min="5" max="5" width="12.85546875" style="163" bestFit="1" customWidth="1"/>
    <col min="6" max="16384" width="9.140625" style="163"/>
  </cols>
  <sheetData>
    <row r="1" spans="2:3" ht="13.5" thickBot="1" x14ac:dyDescent="0.25"/>
    <row r="2" spans="2:3" x14ac:dyDescent="0.2">
      <c r="B2" s="276"/>
    </row>
    <row r="3" spans="2:3" ht="18" x14ac:dyDescent="0.2">
      <c r="B3" s="277" t="s">
        <v>156</v>
      </c>
      <c r="C3" s="14"/>
    </row>
    <row r="4" spans="2:3" ht="21.75" customHeight="1" x14ac:dyDescent="0.2">
      <c r="B4" s="277"/>
      <c r="C4" s="278"/>
    </row>
    <row r="5" spans="2:3" ht="27.75" customHeight="1" x14ac:dyDescent="0.2">
      <c r="B5" s="277" t="s">
        <v>155</v>
      </c>
      <c r="C5" s="14"/>
    </row>
    <row r="6" spans="2:3" ht="21.75" customHeight="1" x14ac:dyDescent="0.2">
      <c r="B6" s="279"/>
      <c r="C6" s="14"/>
    </row>
    <row r="7" spans="2:3" ht="18" x14ac:dyDescent="0.2">
      <c r="B7" s="666" t="s">
        <v>531</v>
      </c>
      <c r="C7" s="252"/>
    </row>
    <row r="8" spans="2:3" x14ac:dyDescent="0.2">
      <c r="B8" s="280"/>
    </row>
    <row r="9" spans="2:3" ht="13.5" thickBot="1" x14ac:dyDescent="0.25">
      <c r="B9" s="280"/>
    </row>
    <row r="10" spans="2:3" ht="18.75" thickBot="1" x14ac:dyDescent="0.25">
      <c r="B10" s="281" t="s">
        <v>515</v>
      </c>
    </row>
    <row r="11" spans="2:3" x14ac:dyDescent="0.2">
      <c r="B11" s="280"/>
    </row>
    <row r="12" spans="2:3" x14ac:dyDescent="0.2">
      <c r="B12" s="280" t="s">
        <v>413</v>
      </c>
    </row>
    <row r="13" spans="2:3" x14ac:dyDescent="0.2">
      <c r="B13" s="280"/>
    </row>
    <row r="14" spans="2:3" x14ac:dyDescent="0.2">
      <c r="B14" s="280"/>
    </row>
    <row r="15" spans="2:3" x14ac:dyDescent="0.2">
      <c r="B15" s="280"/>
    </row>
    <row r="16" spans="2:3" x14ac:dyDescent="0.2">
      <c r="B16" s="280"/>
    </row>
    <row r="17" spans="2:4" x14ac:dyDescent="0.2">
      <c r="B17" s="280"/>
    </row>
    <row r="18" spans="2:4" x14ac:dyDescent="0.2">
      <c r="B18" s="280"/>
    </row>
    <row r="19" spans="2:4" x14ac:dyDescent="0.2">
      <c r="B19" s="280"/>
    </row>
    <row r="20" spans="2:4" x14ac:dyDescent="0.2">
      <c r="B20" s="280"/>
    </row>
    <row r="21" spans="2:4" ht="19.5" x14ac:dyDescent="0.35">
      <c r="B21" s="282" t="s">
        <v>414</v>
      </c>
    </row>
    <row r="22" spans="2:4" ht="15" x14ac:dyDescent="0.2">
      <c r="B22" s="282" t="s">
        <v>415</v>
      </c>
    </row>
    <row r="23" spans="2:4" ht="15" x14ac:dyDescent="0.2">
      <c r="B23" s="282" t="s">
        <v>416</v>
      </c>
    </row>
    <row r="24" spans="2:4" ht="19.5" x14ac:dyDescent="0.35">
      <c r="B24" s="282" t="s">
        <v>417</v>
      </c>
    </row>
    <row r="25" spans="2:4" ht="19.5" x14ac:dyDescent="0.35">
      <c r="B25" s="282" t="s">
        <v>418</v>
      </c>
    </row>
    <row r="26" spans="2:4" ht="15.75" thickBot="1" x14ac:dyDescent="0.25">
      <c r="B26" s="283" t="s">
        <v>419</v>
      </c>
    </row>
    <row r="27" spans="2:4" x14ac:dyDescent="0.2">
      <c r="B27" s="280"/>
    </row>
    <row r="28" spans="2:4" ht="15.75" x14ac:dyDescent="0.2">
      <c r="B28" s="666" t="s">
        <v>529</v>
      </c>
      <c r="C28" s="258"/>
      <c r="D28" s="260"/>
    </row>
    <row r="29" spans="2:4" ht="15.75" x14ac:dyDescent="0.2">
      <c r="B29" s="478"/>
      <c r="C29" s="162"/>
      <c r="D29" s="260"/>
    </row>
    <row r="30" spans="2:4" ht="15.75" x14ac:dyDescent="0.2">
      <c r="B30" s="478"/>
      <c r="C30" s="162"/>
      <c r="D30" s="260"/>
    </row>
    <row r="31" spans="2:4" ht="15.75" x14ac:dyDescent="0.2">
      <c r="B31" s="478"/>
      <c r="C31" s="162"/>
      <c r="D31" s="260"/>
    </row>
    <row r="32" spans="2:4" ht="15.75" x14ac:dyDescent="0.2">
      <c r="B32" s="284"/>
      <c r="C32" s="260"/>
      <c r="D32" s="260"/>
    </row>
    <row r="33" spans="2:5" ht="15" x14ac:dyDescent="0.2">
      <c r="B33" s="285"/>
      <c r="C33" s="22"/>
      <c r="D33" s="22"/>
    </row>
    <row r="34" spans="2:5" x14ac:dyDescent="0.2">
      <c r="B34" s="286" t="s">
        <v>517</v>
      </c>
      <c r="C34" s="17"/>
      <c r="D34" s="17"/>
      <c r="E34" s="162"/>
    </row>
    <row r="35" spans="2:5" x14ac:dyDescent="0.2">
      <c r="B35" s="287" t="s">
        <v>420</v>
      </c>
      <c r="C35" s="660"/>
      <c r="D35" s="660"/>
    </row>
    <row r="36" spans="2:5" x14ac:dyDescent="0.2">
      <c r="B36" s="288" t="s">
        <v>514</v>
      </c>
      <c r="C36" s="661"/>
      <c r="D36" s="661"/>
    </row>
    <row r="37" spans="2:5" x14ac:dyDescent="0.2">
      <c r="B37" s="280"/>
    </row>
    <row r="38" spans="2:5" ht="13.5" thickBot="1" x14ac:dyDescent="0.25">
      <c r="B38" s="289"/>
    </row>
  </sheetData>
  <mergeCells count="2">
    <mergeCell ref="C35:D35"/>
    <mergeCell ref="C36:D36"/>
  </mergeCells>
  <pageMargins left="0.9055118110236221" right="0.51181102362204722" top="1.3779527559055118" bottom="0.78740157480314965" header="0.31496062992125984" footer="0.31496062992125984"/>
  <pageSetup paperSize="9" scale="8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Orçamento</vt:lpstr>
      <vt:lpstr>CRONOGRAMA</vt:lpstr>
      <vt:lpstr>Depreciação</vt:lpstr>
      <vt:lpstr>Itinerário</vt:lpstr>
      <vt:lpstr>Dimensionamento</vt:lpstr>
      <vt:lpstr>Tipo de Objeto x Familia</vt:lpstr>
      <vt:lpstr>BDI</vt:lpstr>
      <vt:lpstr>ENCARGOS SOCIAIS</vt:lpstr>
      <vt:lpstr>Remuneração Capital</vt:lpstr>
      <vt:lpstr>BDI!Area_de_impressao</vt:lpstr>
      <vt:lpstr>CRONOGRAMA!Area_de_impressao</vt:lpstr>
      <vt:lpstr>Depreciação!Area_de_impressao</vt:lpstr>
      <vt:lpstr>Dimensionamento!Area_de_impressao</vt:lpstr>
      <vt:lpstr>'ENCARGOS SOCIAIS'!Area_de_impressao</vt:lpstr>
      <vt:lpstr>Itinerário!Area_de_impressao</vt:lpstr>
      <vt:lpstr>Orçamento!Area_de_impressao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2018-11-06T11:18:02Z</cp:lastPrinted>
  <dcterms:created xsi:type="dcterms:W3CDTF">2014-12-09T12:52:40Z</dcterms:created>
  <dcterms:modified xsi:type="dcterms:W3CDTF">2018-11-06T14:07:58Z</dcterms:modified>
</cp:coreProperties>
</file>